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violeta darbas\STRATEGINIS PLANAVIMAS\KEITIMAI\2025 m\2025-12\PRADINIS\"/>
    </mc:Choice>
  </mc:AlternateContent>
  <xr:revisionPtr revIDLastSave="0" documentId="13_ncr:1_{B660472A-249A-4E4A-9E09-E3069482C0F0}" xr6:coauthVersionLast="47" xr6:coauthVersionMax="47" xr10:uidLastSave="{00000000-0000-0000-0000-000000000000}"/>
  <bookViews>
    <workbookView xWindow="-108" yWindow="-108" windowWidth="23256" windowHeight="13896" tabRatio="766" xr2:uid="{00000000-000D-0000-FFFF-FFFF00000000}"/>
  </bookViews>
  <sheets>
    <sheet name="1 programa" sheetId="1" r:id="rId1"/>
    <sheet name="2 programa" sheetId="9" r:id="rId2"/>
    <sheet name="3 programa" sheetId="4" r:id="rId3"/>
    <sheet name="4 programa" sheetId="5" r:id="rId4"/>
    <sheet name="5 programa" sheetId="6" r:id="rId5"/>
    <sheet name="Suvestinė" sheetId="8" r:id="rId6"/>
    <sheet name="Planui" sheetId="10" state="hidden" r:id="rId7"/>
  </sheets>
  <definedNames>
    <definedName name="Asignavimų_valdytojai" localSheetId="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0" i="5" l="1"/>
  <c r="J39" i="5"/>
  <c r="J41" i="4"/>
  <c r="J50" i="4"/>
  <c r="J43" i="4"/>
  <c r="J42" i="4"/>
  <c r="J16" i="4"/>
  <c r="J233" i="4"/>
  <c r="J156" i="9"/>
  <c r="J155" i="9"/>
  <c r="J31" i="1"/>
  <c r="J60" i="9"/>
  <c r="J49" i="1"/>
  <c r="J118" i="1"/>
  <c r="J59" i="1"/>
  <c r="J41" i="1"/>
  <c r="J40" i="1"/>
  <c r="J115" i="6"/>
  <c r="J130" i="6"/>
  <c r="J105" i="6"/>
  <c r="J16" i="6"/>
  <c r="J30" i="5"/>
  <c r="J17" i="5"/>
  <c r="J232" i="1"/>
  <c r="J60" i="6"/>
  <c r="J111" i="4"/>
  <c r="J24" i="4"/>
  <c r="J78" i="4"/>
  <c r="J22" i="4"/>
  <c r="J31" i="4"/>
  <c r="J87" i="4"/>
  <c r="J76" i="4"/>
  <c r="J77" i="4"/>
  <c r="J47" i="4"/>
  <c r="J49" i="4"/>
  <c r="J56" i="4"/>
  <c r="J39" i="4"/>
  <c r="J51" i="4"/>
  <c r="J35" i="4"/>
  <c r="J45" i="4"/>
  <c r="J36" i="4"/>
  <c r="J54" i="4"/>
  <c r="J37" i="4"/>
  <c r="J33" i="4"/>
  <c r="J34" i="4"/>
  <c r="J52" i="9"/>
  <c r="J27" i="1"/>
  <c r="J122" i="6"/>
  <c r="J65" i="5"/>
  <c r="J217" i="9"/>
  <c r="J56" i="1"/>
  <c r="J88" i="4"/>
  <c r="J91" i="4"/>
  <c r="J97" i="4"/>
  <c r="J18" i="4"/>
  <c r="J44" i="1"/>
  <c r="J162" i="9"/>
  <c r="J235" i="4"/>
  <c r="J243" i="4"/>
  <c r="J21" i="5"/>
  <c r="J104" i="1"/>
  <c r="J86" i="1"/>
  <c r="J136" i="4"/>
  <c r="J133" i="4"/>
  <c r="J73" i="6"/>
  <c r="J176" i="6"/>
  <c r="J33" i="6"/>
  <c r="J38" i="5"/>
  <c r="J20" i="5"/>
  <c r="J119" i="4"/>
  <c r="J90" i="4"/>
  <c r="J80" i="4"/>
  <c r="J28" i="9"/>
  <c r="J26" i="9"/>
  <c r="J57" i="1"/>
  <c r="J157" i="9"/>
  <c r="J50" i="5"/>
  <c r="J188" i="6"/>
  <c r="J139" i="9"/>
  <c r="J78" i="9"/>
  <c r="J42" i="1"/>
  <c r="J106" i="1"/>
  <c r="J90" i="1"/>
  <c r="J214" i="4"/>
  <c r="J124" i="1"/>
  <c r="J139" i="1"/>
  <c r="J130" i="1"/>
  <c r="J133" i="1"/>
  <c r="J132" i="1"/>
  <c r="J112" i="1"/>
  <c r="J239" i="9"/>
  <c r="J228" i="1"/>
  <c r="J70" i="9"/>
  <c r="J123" i="6"/>
  <c r="J56" i="6"/>
  <c r="J141" i="6"/>
  <c r="J111" i="6"/>
  <c r="J53" i="5"/>
  <c r="J37" i="1"/>
  <c r="J35" i="1"/>
  <c r="J133" i="9"/>
  <c r="J136" i="9"/>
  <c r="J77" i="1"/>
  <c r="J44" i="4"/>
  <c r="J48" i="4"/>
  <c r="J55" i="4"/>
  <c r="J27" i="6"/>
  <c r="J80" i="1"/>
  <c r="J71" i="1"/>
  <c r="J74" i="1"/>
  <c r="J68" i="1"/>
  <c r="J209" i="9"/>
  <c r="J66" i="9"/>
  <c r="J16" i="9"/>
  <c r="J213" i="9"/>
  <c r="J216" i="9"/>
  <c r="J52" i="1"/>
  <c r="J55" i="1"/>
  <c r="J251" i="4"/>
  <c r="J249" i="4"/>
  <c r="J248" i="4"/>
  <c r="J247" i="4"/>
  <c r="J246" i="4"/>
  <c r="J245" i="4"/>
  <c r="J244" i="4"/>
  <c r="J215" i="6"/>
  <c r="K177" i="1"/>
  <c r="L177" i="1"/>
  <c r="J176" i="1"/>
  <c r="J177" i="1" s="1"/>
  <c r="J30" i="6"/>
  <c r="J69" i="5"/>
  <c r="J162" i="6"/>
  <c r="J86" i="9"/>
  <c r="J80" i="6"/>
  <c r="J54" i="9"/>
  <c r="J58" i="9"/>
  <c r="J238" i="4"/>
  <c r="J195" i="4"/>
  <c r="J215" i="9"/>
  <c r="J183" i="4"/>
  <c r="J179" i="4"/>
  <c r="J87" i="6"/>
  <c r="J176" i="4"/>
  <c r="J169" i="4"/>
  <c r="J123" i="1"/>
  <c r="J83" i="1"/>
  <c r="J138" i="1"/>
  <c r="J115" i="1"/>
  <c r="J63" i="1"/>
  <c r="J89" i="1"/>
  <c r="J34" i="1"/>
  <c r="J28" i="1"/>
  <c r="J26" i="1"/>
  <c r="J33" i="1"/>
  <c r="J64" i="9"/>
  <c r="J192" i="9"/>
  <c r="J20" i="1"/>
  <c r="J202" i="1"/>
  <c r="J90" i="6"/>
  <c r="J143" i="1"/>
  <c r="J205" i="4"/>
  <c r="J215" i="1"/>
  <c r="J56" i="5"/>
  <c r="J58" i="5"/>
  <c r="J34" i="9"/>
  <c r="J33" i="9"/>
  <c r="J32" i="9"/>
  <c r="J31" i="9"/>
  <c r="J30" i="9"/>
  <c r="J29" i="9"/>
  <c r="J27" i="9"/>
  <c r="J25" i="9"/>
  <c r="J24" i="9"/>
  <c r="J23" i="9"/>
  <c r="J22" i="9"/>
  <c r="J20" i="9"/>
  <c r="J21" i="9"/>
  <c r="J19" i="9"/>
  <c r="J239" i="4"/>
  <c r="J198" i="9"/>
  <c r="J160" i="9"/>
  <c r="J47" i="1"/>
  <c r="J29" i="1"/>
  <c r="J153" i="6"/>
  <c r="J74" i="9"/>
  <c r="J72" i="9"/>
  <c r="J68" i="9"/>
  <c r="J56" i="9"/>
  <c r="J62" i="9"/>
  <c r="J147" i="6"/>
  <c r="J198" i="6"/>
  <c r="J106" i="6"/>
  <c r="J18" i="6"/>
  <c r="J196" i="4"/>
  <c r="J178" i="1"/>
  <c r="J47" i="5"/>
  <c r="J116" i="4"/>
  <c r="J113" i="6"/>
  <c r="J202" i="4"/>
  <c r="J35" i="9"/>
  <c r="J104" i="9"/>
  <c r="J103" i="9"/>
  <c r="J101" i="9"/>
  <c r="J100" i="9"/>
  <c r="J99" i="9"/>
  <c r="J96" i="9"/>
  <c r="J94" i="9"/>
  <c r="J93" i="9"/>
  <c r="J97" i="9"/>
  <c r="J89" i="9"/>
  <c r="J62" i="5"/>
  <c r="J87" i="9"/>
  <c r="J97" i="1"/>
  <c r="J127" i="4"/>
  <c r="J150" i="9"/>
  <c r="J149" i="9"/>
  <c r="J141" i="9"/>
  <c r="J73" i="9"/>
  <c r="J17" i="9"/>
  <c r="J67" i="6"/>
  <c r="J61" i="5"/>
  <c r="J250" i="4"/>
  <c r="J135" i="6"/>
  <c r="J138" i="6"/>
  <c r="J233" i="9"/>
  <c r="J160" i="4"/>
  <c r="J128" i="6"/>
  <c r="J127" i="1"/>
  <c r="L251" i="4"/>
  <c r="K251" i="4"/>
  <c r="J184" i="9"/>
  <c r="J182" i="9"/>
  <c r="J172" i="9"/>
  <c r="J146" i="1"/>
  <c r="J157" i="4"/>
  <c r="J42" i="5"/>
  <c r="J117" i="6"/>
  <c r="J46" i="6"/>
  <c r="J43" i="5"/>
  <c r="J108" i="5"/>
  <c r="J102" i="4"/>
  <c r="J116" i="1"/>
  <c r="J117" i="1"/>
  <c r="J48" i="1"/>
  <c r="J38" i="1"/>
  <c r="J76" i="9"/>
  <c r="J65" i="9"/>
  <c r="J108" i="1"/>
  <c r="J124" i="4"/>
  <c r="J62" i="1"/>
  <c r="J83" i="5"/>
  <c r="J114" i="5"/>
  <c r="J212" i="9"/>
  <c r="J29" i="6"/>
  <c r="J20" i="6"/>
  <c r="J211" i="1"/>
  <c r="J37" i="9"/>
  <c r="J36" i="9"/>
  <c r="J21" i="6"/>
  <c r="J25" i="4"/>
  <c r="J92" i="1"/>
  <c r="J133" i="6"/>
  <c r="J53" i="1"/>
  <c r="J205" i="1"/>
  <c r="J204" i="1"/>
  <c r="J203" i="1"/>
  <c r="J174" i="6"/>
  <c r="J35" i="6"/>
  <c r="J225" i="4"/>
  <c r="J114" i="9"/>
  <c r="J154" i="9"/>
  <c r="J63" i="5"/>
  <c r="J26" i="6"/>
  <c r="J52" i="6"/>
  <c r="J22" i="6"/>
  <c r="J84" i="9"/>
  <c r="J58" i="6"/>
  <c r="J24" i="6"/>
  <c r="J177" i="9"/>
  <c r="J167" i="9"/>
  <c r="J95" i="4"/>
  <c r="J123" i="4"/>
  <c r="K242" i="6"/>
  <c r="L242" i="6"/>
  <c r="J242" i="6"/>
  <c r="J99" i="6"/>
  <c r="J248" i="1"/>
  <c r="J249" i="1"/>
  <c r="J250" i="1"/>
  <c r="J197" i="6"/>
  <c r="J202" i="6" s="1"/>
  <c r="J235" i="9"/>
  <c r="J138" i="9"/>
  <c r="J126" i="6"/>
  <c r="J31" i="6"/>
  <c r="J42" i="6"/>
  <c r="K157" i="9"/>
  <c r="L157" i="9"/>
  <c r="J201" i="1"/>
  <c r="J253" i="1" s="1"/>
  <c r="J252" i="1" s="1"/>
  <c r="L206" i="1"/>
  <c r="K206" i="1"/>
  <c r="J120" i="4"/>
  <c r="J17" i="6"/>
  <c r="J189" i="6"/>
  <c r="J148" i="9"/>
  <c r="J146" i="9"/>
  <c r="J48" i="6"/>
  <c r="J219" i="1"/>
  <c r="J59" i="5"/>
  <c r="J102" i="5"/>
  <c r="J85" i="5"/>
  <c r="J219" i="4"/>
  <c r="J120" i="9"/>
  <c r="J194" i="9"/>
  <c r="J51" i="1"/>
  <c r="J32" i="1"/>
  <c r="J74" i="5"/>
  <c r="J101" i="1"/>
  <c r="J95" i="1"/>
  <c r="J75" i="5"/>
  <c r="J134" i="4"/>
  <c r="L122" i="9"/>
  <c r="J115" i="9"/>
  <c r="J152" i="9"/>
  <c r="J151" i="9"/>
  <c r="J49" i="9"/>
  <c r="J47" i="9"/>
  <c r="J46" i="9"/>
  <c r="J45" i="9"/>
  <c r="J186" i="9"/>
  <c r="J189" i="9"/>
  <c r="J188" i="9"/>
  <c r="J187" i="9"/>
  <c r="J185" i="9"/>
  <c r="J190" i="9"/>
  <c r="J181" i="9"/>
  <c r="J183" i="9"/>
  <c r="J180" i="9"/>
  <c r="J179" i="9"/>
  <c r="J178" i="9"/>
  <c r="J176" i="9"/>
  <c r="J175" i="9"/>
  <c r="J173" i="9"/>
  <c r="J171" i="9"/>
  <c r="J168" i="9"/>
  <c r="J169" i="9"/>
  <c r="J67" i="9"/>
  <c r="J26" i="4" l="1"/>
  <c r="J137" i="4"/>
  <c r="J18" i="9"/>
  <c r="J206" i="1"/>
  <c r="J107" i="6"/>
  <c r="J32" i="6"/>
  <c r="J58" i="4"/>
  <c r="J153" i="9"/>
  <c r="J191" i="9"/>
  <c r="J121" i="1"/>
  <c r="J50" i="1"/>
  <c r="J98" i="1"/>
  <c r="J122" i="9" l="1"/>
  <c r="J211" i="9"/>
  <c r="J212" i="4" l="1"/>
  <c r="J209" i="4"/>
  <c r="J182" i="4" l="1"/>
  <c r="K77" i="5" l="1"/>
  <c r="L77" i="5"/>
  <c r="J76" i="5"/>
  <c r="J77" i="5" s="1"/>
  <c r="K195" i="9"/>
  <c r="L195" i="9"/>
  <c r="K185" i="4"/>
  <c r="L185" i="4"/>
  <c r="J187" i="4"/>
  <c r="J188" i="4" s="1"/>
  <c r="J185" i="4"/>
  <c r="J29" i="5"/>
  <c r="J214" i="9"/>
  <c r="J230" i="9"/>
  <c r="J139" i="6"/>
  <c r="J224" i="1"/>
  <c r="J38" i="9" l="1"/>
  <c r="J240" i="4"/>
  <c r="J222" i="4"/>
  <c r="J198" i="4"/>
  <c r="J159" i="4"/>
  <c r="J155" i="4"/>
  <c r="J146" i="4"/>
  <c r="J132" i="4"/>
  <c r="J128" i="4"/>
  <c r="J121" i="4"/>
  <c r="J101" i="4"/>
  <c r="J82" i="4"/>
  <c r="J73" i="4"/>
  <c r="J164" i="9"/>
  <c r="J45" i="1"/>
  <c r="J113" i="1"/>
  <c r="J203" i="9"/>
  <c r="J125" i="4"/>
  <c r="K108" i="1"/>
  <c r="L108" i="1"/>
  <c r="J74" i="4" l="1"/>
  <c r="J23" i="1"/>
  <c r="J75" i="6" l="1"/>
  <c r="J101" i="6"/>
  <c r="K175" i="4"/>
  <c r="L175" i="4"/>
  <c r="J135" i="1" l="1"/>
  <c r="J213" i="1"/>
  <c r="J62" i="6"/>
  <c r="K208" i="6"/>
  <c r="J208" i="6"/>
  <c r="L190" i="4" l="1"/>
  <c r="K190" i="4"/>
  <c r="J190" i="4"/>
  <c r="J73" i="5" l="1"/>
  <c r="J32" i="5"/>
  <c r="J23" i="5"/>
  <c r="J113" i="5"/>
  <c r="J115" i="5"/>
  <c r="J82" i="5"/>
  <c r="K106" i="4" l="1"/>
  <c r="J151" i="6" l="1"/>
  <c r="J152" i="6" s="1"/>
  <c r="L154" i="6"/>
  <c r="K154" i="6"/>
  <c r="J154" i="6"/>
  <c r="L182" i="4" l="1"/>
  <c r="K182" i="4"/>
  <c r="K165" i="4"/>
  <c r="L165" i="4"/>
  <c r="K123" i="4"/>
  <c r="L123" i="4"/>
  <c r="L106" i="4"/>
  <c r="L91" i="4"/>
  <c r="K91" i="4"/>
  <c r="L88" i="4"/>
  <c r="K88" i="4"/>
  <c r="K82" i="4"/>
  <c r="L82" i="4"/>
  <c r="L77" i="4"/>
  <c r="K77" i="4"/>
  <c r="K34" i="1"/>
  <c r="L34" i="1"/>
  <c r="K35" i="1"/>
  <c r="L35" i="1"/>
  <c r="K36" i="1"/>
  <c r="L36" i="1"/>
  <c r="K37" i="1"/>
  <c r="L37" i="1"/>
  <c r="K39" i="1"/>
  <c r="L39" i="1"/>
  <c r="K20" i="1"/>
  <c r="L20" i="1"/>
  <c r="J170" i="9"/>
  <c r="J166" i="9"/>
  <c r="J140" i="9"/>
  <c r="J105" i="9"/>
  <c r="K153" i="9"/>
  <c r="L153" i="9"/>
  <c r="K150" i="9"/>
  <c r="L150" i="9"/>
  <c r="L55" i="9"/>
  <c r="L57" i="9"/>
  <c r="L59" i="9"/>
  <c r="L60" i="9"/>
  <c r="L61" i="9"/>
  <c r="L62" i="9"/>
  <c r="L63" i="9"/>
  <c r="L66" i="9"/>
  <c r="L67" i="9"/>
  <c r="L69" i="9"/>
  <c r="L71" i="9"/>
  <c r="L72" i="9"/>
  <c r="L73" i="9"/>
  <c r="L75" i="9"/>
  <c r="L78" i="9"/>
  <c r="L79" i="9"/>
  <c r="K55" i="9"/>
  <c r="K57" i="9"/>
  <c r="K59" i="9"/>
  <c r="K60" i="9"/>
  <c r="K61" i="9"/>
  <c r="K62" i="9"/>
  <c r="K63" i="9"/>
  <c r="K66" i="9"/>
  <c r="K67" i="9"/>
  <c r="K69" i="9"/>
  <c r="K71" i="9"/>
  <c r="K72" i="9"/>
  <c r="K73" i="9"/>
  <c r="K75" i="9"/>
  <c r="K78" i="9"/>
  <c r="K79" i="9"/>
  <c r="K53" i="9"/>
  <c r="L53" i="9"/>
  <c r="K140" i="9"/>
  <c r="L140" i="9"/>
  <c r="J36" i="1"/>
  <c r="J39" i="1"/>
  <c r="K73" i="5"/>
  <c r="L73" i="5"/>
  <c r="L32" i="5"/>
  <c r="K32" i="5"/>
  <c r="K169" i="6"/>
  <c r="K170" i="6" s="1"/>
  <c r="J137" i="6"/>
  <c r="J224" i="6"/>
  <c r="K224" i="6"/>
  <c r="L224" i="6"/>
  <c r="J132" i="5"/>
  <c r="L202" i="6"/>
  <c r="K202" i="6"/>
  <c r="K196" i="6"/>
  <c r="J84" i="6"/>
  <c r="K84" i="6"/>
  <c r="L84" i="6"/>
  <c r="K121" i="9"/>
  <c r="K120" i="9"/>
  <c r="J165" i="4"/>
  <c r="J263" i="4" s="1"/>
  <c r="J79" i="4"/>
  <c r="J83" i="4" s="1"/>
  <c r="K211" i="9"/>
  <c r="L211" i="9"/>
  <c r="K212" i="9"/>
  <c r="L212" i="9"/>
  <c r="K213" i="9"/>
  <c r="L213" i="9"/>
  <c r="K214" i="9"/>
  <c r="L214" i="9"/>
  <c r="K215" i="9"/>
  <c r="L215" i="9"/>
  <c r="K216" i="9"/>
  <c r="L216" i="9"/>
  <c r="K217" i="9"/>
  <c r="L217" i="9"/>
  <c r="K209" i="9"/>
  <c r="L209" i="9"/>
  <c r="K83" i="9"/>
  <c r="L83" i="9"/>
  <c r="K39" i="9"/>
  <c r="L39" i="9"/>
  <c r="J195" i="9"/>
  <c r="J236" i="9"/>
  <c r="J63" i="9"/>
  <c r="J39" i="9"/>
  <c r="J22" i="1"/>
  <c r="L19" i="9"/>
  <c r="K19" i="9"/>
  <c r="J89" i="4"/>
  <c r="J94" i="4"/>
  <c r="J126" i="4"/>
  <c r="J199" i="9"/>
  <c r="J200" i="9" s="1"/>
  <c r="J79" i="9"/>
  <c r="J75" i="9"/>
  <c r="J71" i="9"/>
  <c r="J69" i="9"/>
  <c r="J61" i="9"/>
  <c r="J59" i="9"/>
  <c r="J57" i="9"/>
  <c r="J55" i="9"/>
  <c r="J53" i="9"/>
  <c r="J168" i="6"/>
  <c r="J140" i="1"/>
  <c r="J137" i="1"/>
  <c r="J134" i="1"/>
  <c r="J131" i="1"/>
  <c r="J128" i="1"/>
  <c r="J125" i="1"/>
  <c r="J120" i="1"/>
  <c r="J114" i="1"/>
  <c r="J109" i="1"/>
  <c r="J103" i="1"/>
  <c r="J100" i="1"/>
  <c r="J94" i="1"/>
  <c r="J91" i="1"/>
  <c r="J88" i="1"/>
  <c r="J85" i="1"/>
  <c r="J82" i="1"/>
  <c r="J79" i="1"/>
  <c r="J76" i="1"/>
  <c r="J70" i="1"/>
  <c r="J67" i="1"/>
  <c r="J251" i="1" s="1"/>
  <c r="J127" i="6"/>
  <c r="J152" i="1"/>
  <c r="J41" i="9" l="1"/>
  <c r="J253" i="9"/>
  <c r="K122" i="9"/>
  <c r="J218" i="9"/>
  <c r="J81" i="9"/>
  <c r="J145" i="1"/>
  <c r="K209" i="6"/>
  <c r="J196" i="9"/>
  <c r="J227" i="9"/>
  <c r="J128" i="9"/>
  <c r="J113" i="9"/>
  <c r="J51" i="9"/>
  <c r="L113" i="9"/>
  <c r="K113" i="9"/>
  <c r="J234" i="9" l="1"/>
  <c r="L188" i="4" l="1"/>
  <c r="K188" i="4"/>
  <c r="J190" i="6" l="1"/>
  <c r="L81" i="9"/>
  <c r="K81" i="9"/>
  <c r="L128" i="9" l="1"/>
  <c r="K128" i="9"/>
  <c r="K137" i="4" l="1"/>
  <c r="L137" i="4"/>
  <c r="J206" i="6" l="1"/>
  <c r="L206" i="6"/>
  <c r="K206" i="6"/>
  <c r="K204" i="6"/>
  <c r="J204" i="6"/>
  <c r="K99" i="5"/>
  <c r="L99" i="5"/>
  <c r="J99" i="5"/>
  <c r="K132" i="4"/>
  <c r="L132" i="4"/>
  <c r="J142" i="6"/>
  <c r="K79" i="4" l="1"/>
  <c r="L79" i="4"/>
  <c r="J28" i="5" l="1"/>
  <c r="L190" i="6" l="1"/>
  <c r="K89" i="4"/>
  <c r="L89" i="4"/>
  <c r="K149" i="1"/>
  <c r="L149" i="1"/>
  <c r="J149" i="1"/>
  <c r="C19" i="10"/>
  <c r="D19" i="10"/>
  <c r="E19" i="10"/>
  <c r="K271" i="4"/>
  <c r="I21" i="8" s="1"/>
  <c r="D17" i="10" s="1"/>
  <c r="L271" i="4"/>
  <c r="J21" i="8" s="1"/>
  <c r="E17" i="10" s="1"/>
  <c r="J269" i="4"/>
  <c r="J271" i="4"/>
  <c r="H21" i="8" s="1"/>
  <c r="C17" i="10" s="1"/>
  <c r="K101" i="4"/>
  <c r="L101" i="4"/>
  <c r="K21" i="4"/>
  <c r="L21" i="4"/>
  <c r="L128" i="4" l="1"/>
  <c r="K128" i="4"/>
  <c r="K222" i="6"/>
  <c r="L222" i="6"/>
  <c r="J222" i="6"/>
  <c r="K220" i="6"/>
  <c r="L220" i="6"/>
  <c r="J220" i="6"/>
  <c r="K218" i="6"/>
  <c r="L218" i="6"/>
  <c r="J218" i="6"/>
  <c r="K216" i="6"/>
  <c r="L216" i="6"/>
  <c r="J216" i="6"/>
  <c r="K214" i="6"/>
  <c r="L214" i="6"/>
  <c r="J214" i="6"/>
  <c r="L196" i="6"/>
  <c r="L209" i="6" s="1"/>
  <c r="J196" i="6"/>
  <c r="J209" i="6" s="1"/>
  <c r="J210" i="6" s="1"/>
  <c r="K190" i="6"/>
  <c r="K187" i="6"/>
  <c r="L187" i="6"/>
  <c r="J187" i="6"/>
  <c r="K185" i="6"/>
  <c r="L185" i="6"/>
  <c r="J185" i="6"/>
  <c r="K179" i="6"/>
  <c r="L179" i="6"/>
  <c r="J179" i="6"/>
  <c r="K177" i="6"/>
  <c r="L177" i="6"/>
  <c r="J177" i="6"/>
  <c r="K175" i="6"/>
  <c r="L175" i="6"/>
  <c r="J175" i="6"/>
  <c r="J180" i="6" s="1"/>
  <c r="L169" i="6"/>
  <c r="L170" i="6" s="1"/>
  <c r="J169" i="6"/>
  <c r="J170" i="6" s="1"/>
  <c r="K163" i="6"/>
  <c r="L163" i="6"/>
  <c r="J163" i="6"/>
  <c r="K161" i="6"/>
  <c r="L161" i="6"/>
  <c r="J161" i="6"/>
  <c r="K159" i="6"/>
  <c r="L159" i="6"/>
  <c r="J159" i="6"/>
  <c r="J164" i="6" s="1"/>
  <c r="K152" i="6"/>
  <c r="L152" i="6"/>
  <c r="K150" i="6"/>
  <c r="L150" i="6"/>
  <c r="J150" i="6"/>
  <c r="J155" i="6" s="1"/>
  <c r="K140" i="6"/>
  <c r="K142" i="6" s="1"/>
  <c r="L140" i="6"/>
  <c r="L142" i="6" s="1"/>
  <c r="J140" i="6"/>
  <c r="K137" i="6"/>
  <c r="L137" i="6"/>
  <c r="K127" i="6"/>
  <c r="L127" i="6"/>
  <c r="K110" i="6"/>
  <c r="L110" i="6"/>
  <c r="J110" i="6"/>
  <c r="K107" i="6"/>
  <c r="L107" i="6"/>
  <c r="L100" i="6"/>
  <c r="L101" i="6" s="1"/>
  <c r="K100" i="6"/>
  <c r="K101" i="6" s="1"/>
  <c r="J100" i="6"/>
  <c r="K95" i="6"/>
  <c r="L95" i="6"/>
  <c r="J95" i="6"/>
  <c r="K93" i="6"/>
  <c r="L93" i="6"/>
  <c r="J93" i="6"/>
  <c r="K91" i="6"/>
  <c r="L91" i="6"/>
  <c r="J91" i="6"/>
  <c r="K89" i="6"/>
  <c r="L89" i="6"/>
  <c r="J89" i="6"/>
  <c r="K81" i="6"/>
  <c r="L81" i="6"/>
  <c r="J81" i="6"/>
  <c r="K79" i="6"/>
  <c r="L79" i="6"/>
  <c r="J79" i="6"/>
  <c r="K75" i="6"/>
  <c r="L75" i="6"/>
  <c r="K72" i="6"/>
  <c r="L72" i="6"/>
  <c r="J72" i="6"/>
  <c r="K68" i="6"/>
  <c r="L68" i="6"/>
  <c r="J68" i="6"/>
  <c r="J76" i="6" s="1"/>
  <c r="K64" i="6"/>
  <c r="L64" i="6"/>
  <c r="J64" i="6"/>
  <c r="J65" i="6" s="1"/>
  <c r="K62" i="6"/>
  <c r="L62" i="6"/>
  <c r="K36" i="6"/>
  <c r="L36" i="6"/>
  <c r="J36" i="6"/>
  <c r="K34" i="6"/>
  <c r="L34" i="6"/>
  <c r="J34" i="6"/>
  <c r="K32" i="6"/>
  <c r="L32" i="6"/>
  <c r="K263" i="4"/>
  <c r="L263" i="4"/>
  <c r="K115" i="5"/>
  <c r="L115" i="5"/>
  <c r="K113" i="5"/>
  <c r="L113" i="5"/>
  <c r="K110" i="5"/>
  <c r="L110" i="5"/>
  <c r="J110" i="5"/>
  <c r="K107" i="5"/>
  <c r="L107" i="5"/>
  <c r="J107" i="5"/>
  <c r="K104" i="5"/>
  <c r="L104" i="5"/>
  <c r="J104" i="5"/>
  <c r="K96" i="5"/>
  <c r="L96" i="5"/>
  <c r="J96" i="5"/>
  <c r="K94" i="5"/>
  <c r="L94" i="5"/>
  <c r="J94" i="5"/>
  <c r="K92" i="5"/>
  <c r="L92" i="5"/>
  <c r="J92" i="5"/>
  <c r="K86" i="5"/>
  <c r="L86" i="5"/>
  <c r="J86" i="5"/>
  <c r="K84" i="5"/>
  <c r="L84" i="5"/>
  <c r="J84" i="5"/>
  <c r="K82" i="5"/>
  <c r="L82" i="5"/>
  <c r="K52" i="5"/>
  <c r="L52" i="5"/>
  <c r="J52" i="5"/>
  <c r="K48" i="5"/>
  <c r="L48" i="5"/>
  <c r="J48" i="5"/>
  <c r="K46" i="5"/>
  <c r="L46" i="5"/>
  <c r="J46" i="5"/>
  <c r="K42" i="5"/>
  <c r="L42" i="5"/>
  <c r="K35" i="5"/>
  <c r="L35" i="5"/>
  <c r="J35" i="5"/>
  <c r="K28" i="5"/>
  <c r="L28" i="5"/>
  <c r="K23" i="5"/>
  <c r="L23" i="5"/>
  <c r="K19" i="5"/>
  <c r="L19" i="5"/>
  <c r="J19" i="5"/>
  <c r="K242" i="4"/>
  <c r="L242" i="4"/>
  <c r="J242" i="4"/>
  <c r="K240" i="4"/>
  <c r="L240" i="4"/>
  <c r="K236" i="4"/>
  <c r="L236" i="4"/>
  <c r="J236" i="4"/>
  <c r="L234" i="4"/>
  <c r="K234" i="4"/>
  <c r="J234" i="4"/>
  <c r="K228" i="4"/>
  <c r="L228" i="4"/>
  <c r="J228" i="4"/>
  <c r="K225" i="4"/>
  <c r="L225" i="4"/>
  <c r="J229" i="4"/>
  <c r="L222" i="4"/>
  <c r="K222" i="4"/>
  <c r="K198" i="4"/>
  <c r="L198" i="4"/>
  <c r="K178" i="4"/>
  <c r="L178" i="4"/>
  <c r="J178" i="4"/>
  <c r="J175" i="4"/>
  <c r="K172" i="4"/>
  <c r="L172" i="4"/>
  <c r="J172" i="4"/>
  <c r="K170" i="4"/>
  <c r="L170" i="4"/>
  <c r="J170" i="4"/>
  <c r="K168" i="4"/>
  <c r="L168" i="4"/>
  <c r="J168" i="4"/>
  <c r="K166" i="4"/>
  <c r="L166" i="4"/>
  <c r="J166" i="4"/>
  <c r="K162" i="4"/>
  <c r="L162" i="4"/>
  <c r="J162" i="4"/>
  <c r="J163" i="4" s="1"/>
  <c r="K159" i="4"/>
  <c r="L159" i="4"/>
  <c r="K155" i="4"/>
  <c r="L155" i="4"/>
  <c r="K146" i="4"/>
  <c r="L146" i="4"/>
  <c r="K143" i="4"/>
  <c r="L143" i="4"/>
  <c r="J143" i="4"/>
  <c r="K126" i="4"/>
  <c r="L126" i="4"/>
  <c r="K121" i="4"/>
  <c r="L121" i="4"/>
  <c r="K117" i="4"/>
  <c r="L117" i="4"/>
  <c r="J117" i="4"/>
  <c r="K115" i="4"/>
  <c r="L115" i="4"/>
  <c r="J115" i="4"/>
  <c r="K113" i="4"/>
  <c r="L113" i="4"/>
  <c r="J113" i="4"/>
  <c r="K103" i="4"/>
  <c r="L103" i="4"/>
  <c r="J103" i="4"/>
  <c r="J106" i="4"/>
  <c r="K96" i="4"/>
  <c r="L96" i="4"/>
  <c r="J96" i="4"/>
  <c r="K94" i="4"/>
  <c r="L94" i="4"/>
  <c r="K73" i="4"/>
  <c r="L73" i="4"/>
  <c r="L58" i="4"/>
  <c r="K58" i="4"/>
  <c r="K28" i="4"/>
  <c r="L28" i="4"/>
  <c r="J28" i="4"/>
  <c r="K26" i="4"/>
  <c r="L26" i="4"/>
  <c r="K23" i="4"/>
  <c r="L23" i="4"/>
  <c r="J23" i="4"/>
  <c r="J21" i="4"/>
  <c r="K17" i="4"/>
  <c r="L17" i="4"/>
  <c r="J17" i="4"/>
  <c r="K240" i="9"/>
  <c r="K241" i="9" s="1"/>
  <c r="L240" i="9"/>
  <c r="L241" i="9" s="1"/>
  <c r="J240" i="9"/>
  <c r="J241" i="9" s="1"/>
  <c r="L234" i="9"/>
  <c r="L236" i="9" s="1"/>
  <c r="K234" i="9"/>
  <c r="K236" i="9" s="1"/>
  <c r="K231" i="9"/>
  <c r="L231" i="9"/>
  <c r="J231" i="9"/>
  <c r="J237" i="9" s="1"/>
  <c r="L227" i="9"/>
  <c r="K227" i="9"/>
  <c r="K218" i="9"/>
  <c r="L218" i="9"/>
  <c r="K204" i="9"/>
  <c r="K205" i="9" s="1"/>
  <c r="L204" i="9"/>
  <c r="L205" i="9" s="1"/>
  <c r="J204" i="9"/>
  <c r="J205" i="9" s="1"/>
  <c r="K200" i="9"/>
  <c r="K201" i="9" s="1"/>
  <c r="L200" i="9"/>
  <c r="L201" i="9" s="1"/>
  <c r="J201" i="9"/>
  <c r="K191" i="9"/>
  <c r="L191" i="9"/>
  <c r="K170" i="9"/>
  <c r="L170" i="9"/>
  <c r="K166" i="9"/>
  <c r="L166" i="9"/>
  <c r="J235" i="6"/>
  <c r="K105" i="9"/>
  <c r="L105" i="9"/>
  <c r="K85" i="9"/>
  <c r="L85" i="9"/>
  <c r="J85" i="9"/>
  <c r="J83" i="9"/>
  <c r="K51" i="9"/>
  <c r="L51" i="9"/>
  <c r="K41" i="9"/>
  <c r="L41" i="9"/>
  <c r="K38" i="9"/>
  <c r="L38" i="9"/>
  <c r="K18" i="9"/>
  <c r="L18" i="9"/>
  <c r="J245" i="1"/>
  <c r="K156" i="1"/>
  <c r="K157" i="1" s="1"/>
  <c r="L156" i="1"/>
  <c r="L157" i="1" s="1"/>
  <c r="J156" i="1"/>
  <c r="K234" i="1"/>
  <c r="K235" i="1" s="1"/>
  <c r="K236" i="1" s="1"/>
  <c r="L234" i="1"/>
  <c r="L235" i="1" s="1"/>
  <c r="L236" i="1" s="1"/>
  <c r="J234" i="1"/>
  <c r="J235" i="1" s="1"/>
  <c r="J236" i="1" s="1"/>
  <c r="K200" i="1"/>
  <c r="L200" i="1"/>
  <c r="J200" i="1"/>
  <c r="K198" i="1"/>
  <c r="L198" i="1"/>
  <c r="J198" i="1"/>
  <c r="K192" i="1"/>
  <c r="K193" i="1" s="1"/>
  <c r="L192" i="1"/>
  <c r="L193" i="1" s="1"/>
  <c r="J192" i="1"/>
  <c r="J193" i="1" s="1"/>
  <c r="K185" i="1"/>
  <c r="L185" i="1"/>
  <c r="J185" i="1"/>
  <c r="K188" i="1"/>
  <c r="L188" i="1"/>
  <c r="J188" i="1"/>
  <c r="K183" i="1"/>
  <c r="L183" i="1"/>
  <c r="J183" i="1"/>
  <c r="K181" i="1"/>
  <c r="L181" i="1"/>
  <c r="J181" i="1"/>
  <c r="K179" i="1"/>
  <c r="L179" i="1"/>
  <c r="J179" i="1"/>
  <c r="K174" i="1"/>
  <c r="L174" i="1"/>
  <c r="J174" i="1"/>
  <c r="K172" i="1"/>
  <c r="L172" i="1"/>
  <c r="J172" i="1"/>
  <c r="K170" i="1"/>
  <c r="L170" i="1"/>
  <c r="J170" i="1"/>
  <c r="K168" i="1"/>
  <c r="L168" i="1"/>
  <c r="J168" i="1"/>
  <c r="K166" i="1"/>
  <c r="L166" i="1"/>
  <c r="J166" i="1"/>
  <c r="K164" i="1"/>
  <c r="L164" i="1"/>
  <c r="J164" i="1"/>
  <c r="K162" i="1"/>
  <c r="L162" i="1"/>
  <c r="J162" i="1"/>
  <c r="K152" i="1"/>
  <c r="L152" i="1"/>
  <c r="K147" i="1"/>
  <c r="L147" i="1"/>
  <c r="J147" i="1"/>
  <c r="K145" i="1"/>
  <c r="L145" i="1"/>
  <c r="K59" i="1"/>
  <c r="L59" i="1"/>
  <c r="K24" i="1"/>
  <c r="L24" i="1"/>
  <c r="J24" i="1"/>
  <c r="K22" i="1"/>
  <c r="L22" i="1"/>
  <c r="K19" i="1"/>
  <c r="L19" i="1"/>
  <c r="J19" i="1"/>
  <c r="K17" i="1"/>
  <c r="L17" i="1"/>
  <c r="J17" i="1"/>
  <c r="J236" i="6"/>
  <c r="K245" i="1"/>
  <c r="L245" i="1"/>
  <c r="J246" i="1"/>
  <c r="K246" i="1"/>
  <c r="L246" i="1"/>
  <c r="J247" i="1"/>
  <c r="K247" i="1"/>
  <c r="L247" i="1"/>
  <c r="K248" i="1"/>
  <c r="L248" i="1"/>
  <c r="K249" i="1"/>
  <c r="L249" i="1"/>
  <c r="K250" i="1"/>
  <c r="L250" i="1"/>
  <c r="K251" i="1"/>
  <c r="L251" i="1"/>
  <c r="J252" i="9"/>
  <c r="K252" i="9"/>
  <c r="L252" i="9"/>
  <c r="K253" i="9"/>
  <c r="L253" i="9"/>
  <c r="J254" i="9"/>
  <c r="K254" i="9"/>
  <c r="L254" i="9"/>
  <c r="J255" i="9"/>
  <c r="K255" i="9"/>
  <c r="L255" i="9"/>
  <c r="J256" i="9"/>
  <c r="K256" i="9"/>
  <c r="L256" i="9"/>
  <c r="J257" i="9"/>
  <c r="K257" i="9"/>
  <c r="L257" i="9"/>
  <c r="J258" i="9"/>
  <c r="K258" i="9"/>
  <c r="L258" i="9"/>
  <c r="J264" i="4"/>
  <c r="K264" i="4"/>
  <c r="L264" i="4"/>
  <c r="J265" i="4"/>
  <c r="K265" i="4"/>
  <c r="L265" i="4"/>
  <c r="J266" i="4"/>
  <c r="K266" i="4"/>
  <c r="L266" i="4"/>
  <c r="J267" i="4"/>
  <c r="K267" i="4"/>
  <c r="L267" i="4"/>
  <c r="J268" i="4"/>
  <c r="K268" i="4"/>
  <c r="L268" i="4"/>
  <c r="K269" i="4"/>
  <c r="L269" i="4"/>
  <c r="J126" i="5"/>
  <c r="K126" i="5"/>
  <c r="L126" i="5"/>
  <c r="J127" i="5"/>
  <c r="K127" i="5"/>
  <c r="L127" i="5"/>
  <c r="J128" i="5"/>
  <c r="K128" i="5"/>
  <c r="L128" i="5"/>
  <c r="J129" i="5"/>
  <c r="K129" i="5"/>
  <c r="L129" i="5"/>
  <c r="J130" i="5"/>
  <c r="K130" i="5"/>
  <c r="L130" i="5"/>
  <c r="J131" i="5"/>
  <c r="K131" i="5"/>
  <c r="L131" i="5"/>
  <c r="K132" i="5"/>
  <c r="L132" i="5"/>
  <c r="K235" i="6"/>
  <c r="L235" i="6"/>
  <c r="K236" i="6"/>
  <c r="L236" i="6"/>
  <c r="J237" i="6"/>
  <c r="K237" i="6"/>
  <c r="L237" i="6"/>
  <c r="J238" i="6"/>
  <c r="K238" i="6"/>
  <c r="L238" i="6"/>
  <c r="J239" i="6"/>
  <c r="K239" i="6"/>
  <c r="L239" i="6"/>
  <c r="J240" i="6"/>
  <c r="K240" i="6"/>
  <c r="L240" i="6"/>
  <c r="J241" i="6"/>
  <c r="K241" i="6"/>
  <c r="L241" i="6"/>
  <c r="J153" i="1" l="1"/>
  <c r="L228" i="9"/>
  <c r="J252" i="4"/>
  <c r="J29" i="4"/>
  <c r="J100" i="5"/>
  <c r="J87" i="5"/>
  <c r="J78" i="5"/>
  <c r="J158" i="9"/>
  <c r="J206" i="9" s="1"/>
  <c r="L158" i="9"/>
  <c r="K158" i="9"/>
  <c r="J207" i="1"/>
  <c r="J208" i="1" s="1"/>
  <c r="J37" i="6"/>
  <c r="K191" i="6"/>
  <c r="K192" i="6" s="1"/>
  <c r="K180" i="6"/>
  <c r="K181" i="6" s="1"/>
  <c r="K164" i="6"/>
  <c r="J107" i="4"/>
  <c r="J108" i="4" s="1"/>
  <c r="J96" i="6"/>
  <c r="J138" i="4"/>
  <c r="J139" i="4" s="1"/>
  <c r="J191" i="4"/>
  <c r="J192" i="4" s="1"/>
  <c r="K78" i="5"/>
  <c r="J143" i="6"/>
  <c r="J36" i="5"/>
  <c r="J225" i="6"/>
  <c r="J226" i="6" s="1"/>
  <c r="J253" i="4"/>
  <c r="K36" i="5"/>
  <c r="J116" i="5"/>
  <c r="J117" i="5" s="1"/>
  <c r="J85" i="6"/>
  <c r="L155" i="6"/>
  <c r="J191" i="6"/>
  <c r="J192" i="6" s="1"/>
  <c r="K155" i="6"/>
  <c r="J125" i="5"/>
  <c r="J124" i="5" s="1"/>
  <c r="J251" i="9"/>
  <c r="J250" i="9" s="1"/>
  <c r="L237" i="9"/>
  <c r="L242" i="9" s="1"/>
  <c r="L107" i="4"/>
  <c r="L108" i="4" s="1"/>
  <c r="K107" i="4"/>
  <c r="K108" i="4" s="1"/>
  <c r="K138" i="4"/>
  <c r="K139" i="4" s="1"/>
  <c r="K225" i="6"/>
  <c r="K226" i="6" s="1"/>
  <c r="L29" i="4"/>
  <c r="L138" i="4"/>
  <c r="L139" i="4" s="1"/>
  <c r="K237" i="9"/>
  <c r="L76" i="6"/>
  <c r="K96" i="6"/>
  <c r="L191" i="6"/>
  <c r="L192" i="6" s="1"/>
  <c r="L65" i="6"/>
  <c r="J228" i="9"/>
  <c r="K262" i="4"/>
  <c r="K261" i="4" s="1"/>
  <c r="K272" i="4" s="1"/>
  <c r="L262" i="4"/>
  <c r="L261" i="4" s="1"/>
  <c r="L272" i="4" s="1"/>
  <c r="L274" i="4" s="1"/>
  <c r="E5" i="10" s="1"/>
  <c r="K29" i="4"/>
  <c r="K85" i="6"/>
  <c r="K153" i="1"/>
  <c r="K158" i="1" s="1"/>
  <c r="H16" i="8"/>
  <c r="C16" i="10" s="1"/>
  <c r="J234" i="6"/>
  <c r="J233" i="6" s="1"/>
  <c r="K234" i="6"/>
  <c r="K233" i="6" s="1"/>
  <c r="K244" i="6" s="1"/>
  <c r="K246" i="6" s="1"/>
  <c r="D7" i="10" s="1"/>
  <c r="K210" i="6"/>
  <c r="L234" i="6"/>
  <c r="L233" i="6" s="1"/>
  <c r="L244" i="6" s="1"/>
  <c r="L246" i="6" s="1"/>
  <c r="E7" i="10" s="1"/>
  <c r="K65" i="6"/>
  <c r="L164" i="6"/>
  <c r="L180" i="6"/>
  <c r="L181" i="6" s="1"/>
  <c r="L37" i="6"/>
  <c r="K76" i="6"/>
  <c r="L85" i="6"/>
  <c r="L210" i="6"/>
  <c r="K37" i="6"/>
  <c r="L143" i="6"/>
  <c r="L144" i="6" s="1"/>
  <c r="J181" i="6"/>
  <c r="L96" i="6"/>
  <c r="K143" i="6"/>
  <c r="K144" i="6" s="1"/>
  <c r="L225" i="6"/>
  <c r="L226" i="6" s="1"/>
  <c r="K125" i="5"/>
  <c r="K124" i="5" s="1"/>
  <c r="K135" i="5" s="1"/>
  <c r="K137" i="5" s="1"/>
  <c r="D6" i="10" s="1"/>
  <c r="L125" i="5"/>
  <c r="L124" i="5" s="1"/>
  <c r="L135" i="5" s="1"/>
  <c r="L137" i="5" s="1"/>
  <c r="E6" i="10" s="1"/>
  <c r="J262" i="4"/>
  <c r="J261" i="4" s="1"/>
  <c r="J147" i="4"/>
  <c r="J148" i="4" s="1"/>
  <c r="K163" i="4"/>
  <c r="L191" i="4"/>
  <c r="K252" i="4"/>
  <c r="K253" i="4" s="1"/>
  <c r="K251" i="9"/>
  <c r="K250" i="9" s="1"/>
  <c r="K261" i="9" s="1"/>
  <c r="K263" i="9" s="1"/>
  <c r="D4" i="10" s="1"/>
  <c r="L251" i="9"/>
  <c r="L250" i="9" s="1"/>
  <c r="L261" i="9" s="1"/>
  <c r="L263" i="9" s="1"/>
  <c r="E4" i="10" s="1"/>
  <c r="K228" i="9"/>
  <c r="L196" i="9"/>
  <c r="K196" i="9"/>
  <c r="L244" i="1"/>
  <c r="L243" i="1" s="1"/>
  <c r="L254" i="1" s="1"/>
  <c r="L256" i="1" s="1"/>
  <c r="E3" i="10" s="1"/>
  <c r="K244" i="1"/>
  <c r="K243" i="1" s="1"/>
  <c r="K254" i="1" s="1"/>
  <c r="K256" i="1" s="1"/>
  <c r="D3" i="10" s="1"/>
  <c r="J244" i="1"/>
  <c r="K207" i="1"/>
  <c r="K208" i="1" s="1"/>
  <c r="L153" i="1"/>
  <c r="L158" i="1" s="1"/>
  <c r="L189" i="1"/>
  <c r="L194" i="1" s="1"/>
  <c r="L207" i="1"/>
  <c r="L208" i="1" s="1"/>
  <c r="J15" i="8"/>
  <c r="E12" i="10" s="1"/>
  <c r="J189" i="1"/>
  <c r="J194" i="1" s="1"/>
  <c r="J157" i="1"/>
  <c r="L116" i="5"/>
  <c r="K116" i="5"/>
  <c r="H15" i="8"/>
  <c r="C12" i="10" s="1"/>
  <c r="I19" i="8"/>
  <c r="D15" i="10" s="1"/>
  <c r="H18" i="8"/>
  <c r="C14" i="10" s="1"/>
  <c r="J16" i="8"/>
  <c r="E16" i="10" s="1"/>
  <c r="I15" i="8"/>
  <c r="D12" i="10" s="1"/>
  <c r="H14" i="8"/>
  <c r="C11" i="10" s="1"/>
  <c r="I16" i="8"/>
  <c r="D16" i="10" s="1"/>
  <c r="J13" i="8"/>
  <c r="E9" i="10" s="1"/>
  <c r="L36" i="5"/>
  <c r="K100" i="5"/>
  <c r="L87" i="5"/>
  <c r="L78" i="5"/>
  <c r="K87" i="5"/>
  <c r="L100" i="5"/>
  <c r="L252" i="4"/>
  <c r="L253" i="4" s="1"/>
  <c r="L83" i="4"/>
  <c r="L147" i="4"/>
  <c r="L148" i="4" s="1"/>
  <c r="K191" i="4"/>
  <c r="K83" i="4"/>
  <c r="K147" i="4"/>
  <c r="K148" i="4" s="1"/>
  <c r="L163" i="4"/>
  <c r="J18" i="8"/>
  <c r="E14" i="10" s="1"/>
  <c r="J14" i="8"/>
  <c r="E11" i="10" s="1"/>
  <c r="J19" i="8"/>
  <c r="E15" i="10" s="1"/>
  <c r="J17" i="8"/>
  <c r="E13" i="10" s="1"/>
  <c r="I17" i="8"/>
  <c r="D13" i="10" s="1"/>
  <c r="I13" i="8"/>
  <c r="D9" i="10" s="1"/>
  <c r="I18" i="8"/>
  <c r="D14" i="10" s="1"/>
  <c r="H17" i="8"/>
  <c r="C13" i="10" s="1"/>
  <c r="H13" i="8"/>
  <c r="H19" i="8"/>
  <c r="C15" i="10" s="1"/>
  <c r="I14" i="8"/>
  <c r="D11" i="10" s="1"/>
  <c r="J230" i="4"/>
  <c r="L229" i="4"/>
  <c r="L230" i="4"/>
  <c r="K229" i="4"/>
  <c r="K230" i="4"/>
  <c r="L74" i="4"/>
  <c r="K74" i="4"/>
  <c r="K189" i="1"/>
  <c r="K194" i="1" s="1"/>
  <c r="J88" i="5" l="1"/>
  <c r="J118" i="5" s="1"/>
  <c r="J135" i="5"/>
  <c r="J137" i="5" s="1"/>
  <c r="C6" i="10" s="1"/>
  <c r="L192" i="4"/>
  <c r="J261" i="9"/>
  <c r="J263" i="9" s="1"/>
  <c r="C4" i="10" s="1"/>
  <c r="J244" i="6"/>
  <c r="J243" i="1"/>
  <c r="L171" i="6"/>
  <c r="K171" i="6"/>
  <c r="L117" i="5"/>
  <c r="K237" i="1"/>
  <c r="J84" i="4"/>
  <c r="J171" i="6"/>
  <c r="K242" i="9"/>
  <c r="J242" i="9"/>
  <c r="J243" i="9" s="1"/>
  <c r="J272" i="4"/>
  <c r="J274" i="4" s="1"/>
  <c r="C5" i="10" s="1"/>
  <c r="C9" i="10"/>
  <c r="H12" i="8"/>
  <c r="C8" i="10" s="1"/>
  <c r="K192" i="4"/>
  <c r="J12" i="8"/>
  <c r="K117" i="5"/>
  <c r="K206" i="9"/>
  <c r="I12" i="8"/>
  <c r="K274" i="4"/>
  <c r="D5" i="10" s="1"/>
  <c r="J102" i="6"/>
  <c r="K102" i="6"/>
  <c r="L102" i="6"/>
  <c r="L206" i="9"/>
  <c r="L243" i="9" s="1"/>
  <c r="L237" i="1"/>
  <c r="J158" i="1"/>
  <c r="J237" i="1" s="1"/>
  <c r="K88" i="5"/>
  <c r="L88" i="5"/>
  <c r="L84" i="4"/>
  <c r="L254" i="4" s="1"/>
  <c r="K84" i="4"/>
  <c r="K254" i="4" s="1"/>
  <c r="J254" i="1" l="1"/>
  <c r="J256" i="1" s="1"/>
  <c r="C3" i="10" s="1"/>
  <c r="J246" i="6"/>
  <c r="C7" i="10" s="1"/>
  <c r="L118" i="5"/>
  <c r="L227" i="6"/>
  <c r="K243" i="9"/>
  <c r="K227" i="6"/>
  <c r="K118" i="5"/>
  <c r="H11" i="8"/>
  <c r="H22" i="8" s="1"/>
  <c r="H24" i="8" s="1"/>
  <c r="C21" i="10" s="1"/>
  <c r="J11" i="8"/>
  <c r="J22" i="8" s="1"/>
  <c r="J24" i="8" s="1"/>
  <c r="E21" i="10" s="1"/>
  <c r="E8" i="10"/>
  <c r="I11" i="8"/>
  <c r="I22" i="8" s="1"/>
  <c r="I24" i="8" s="1"/>
  <c r="D21" i="10" s="1"/>
  <c r="D8" i="10"/>
  <c r="J254" i="4"/>
  <c r="J144" i="6"/>
  <c r="J22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tc={2BEB744C-7159-45CC-900B-0E0A3EE19E31}</author>
  </authors>
  <commentList>
    <comment ref="J253" authorId="0" shapeId="0" xr:uid="{2BEB744C-7159-45CC-900B-0E0A3EE19E31}">
      <text>
        <t>[Komentarų gija]
„Excel“ versija leidžia jums skaityti šią komentarų giją, tačiau visi jos taisymai bus pašalinti, jei failas atidaromas naudojant naujesnę „Excel“ versiją. Daugiau informacijos: https://go.microsoft.com/fwlink/?linkid=870924.
Komentaras:
    15 tukst. Visos dienos, nes per Audrone neina</t>
      </text>
    </comment>
  </commentList>
</comments>
</file>

<file path=xl/sharedStrings.xml><?xml version="1.0" encoding="utf-8"?>
<sst xmlns="http://schemas.openxmlformats.org/spreadsheetml/2006/main" count="3180" uniqueCount="519">
  <si>
    <t>KAIŠIADORIŲ RAJONO SAVIVALDYBĖS 2025–2027 METŲ STRATEGINIO VEIKLOS PLANO 01 PROGRAMOS TIKSLŲ, UŽDAVINIŲ, PRIEMONIŲ IR IŠLAIDŲ SUVESTINĖ (tūkst. Eur)</t>
  </si>
  <si>
    <t>Programos tikslo kodas</t>
  </si>
  <si>
    <t>Uždavinio kodas</t>
  </si>
  <si>
    <t>Priemonės kodas</t>
  </si>
  <si>
    <t>Priemonės pavadinimas</t>
  </si>
  <si>
    <t>Priemonės požymis</t>
  </si>
  <si>
    <t>Asignavimų valdytojas</t>
  </si>
  <si>
    <t>Vykdytojas</t>
  </si>
  <si>
    <t>Savivaldybės strateginio plėtros plano priemonės kodas</t>
  </si>
  <si>
    <t>Finansavimo šaltinis</t>
  </si>
  <si>
    <t>2025 m. poreikis</t>
  </si>
  <si>
    <t>2026 m. poreikis</t>
  </si>
  <si>
    <t>2027 m. poreikis</t>
  </si>
  <si>
    <t>Iš viso</t>
  </si>
  <si>
    <t xml:space="preserve">01 Savivaldybės valdymo programa </t>
  </si>
  <si>
    <t>01</t>
  </si>
  <si>
    <t>Užtikrinti efektyvų savarankiškųjų (Konstitucijos ir įstatymų nustatytų (priskirtų)) savivaldybės funkcijų vykdymą</t>
  </si>
  <si>
    <t>Organizuoti savivaldybės savarankiškųjų funkcijų įgyvendinimą Savivaldybėje</t>
  </si>
  <si>
    <t>Savivaldybės tarybos  veiklos organizavimas</t>
  </si>
  <si>
    <t>TP</t>
  </si>
  <si>
    <t>Savivaldybės administracijos direktorius</t>
  </si>
  <si>
    <t>Mero politinio (asmeninio) pasitikėjimo valstybės tarnautojai</t>
  </si>
  <si>
    <t>-</t>
  </si>
  <si>
    <t>SBN</t>
  </si>
  <si>
    <t>Iš viso:</t>
  </si>
  <si>
    <t>02</t>
  </si>
  <si>
    <t>Savivaldybės tarybos darbo užmokestis</t>
  </si>
  <si>
    <t>03</t>
  </si>
  <si>
    <t xml:space="preserve">Savivaldybės administracijos funkcijų vykdymas </t>
  </si>
  <si>
    <t>Bendrasis skyrius</t>
  </si>
  <si>
    <t>AML</t>
  </si>
  <si>
    <t>04</t>
  </si>
  <si>
    <t>Savivaldybės administracijos darbo užmokestis</t>
  </si>
  <si>
    <t>05</t>
  </si>
  <si>
    <t>Savivaldybės biudžetinių įstaigų  darbo užmokestis</t>
  </si>
  <si>
    <t>Kaišiadorių rajono savivaldybės kontrolės ir audito tarnyba</t>
  </si>
  <si>
    <t>Įstaigų vadovai</t>
  </si>
  <si>
    <t>Kaišiadorių bendrųjų funkcijų tarnybos direktorius</t>
  </si>
  <si>
    <t>Kaišiadorių lopšelio-darželio „Spindulys“ direktorius</t>
  </si>
  <si>
    <t>Kaišiadorių r. Rumšiškių lopšelio-darželio direktorius</t>
  </si>
  <si>
    <t>Kaišiadorių r. Pravieniškių lopšelio-darželio „Ąžuoliukas“ direktorius</t>
  </si>
  <si>
    <t>Kaišiadorių r. Gudienos mokyklos-darželio „Rugelis“ direktorius</t>
  </si>
  <si>
    <t>Kaišiadorių r. Žiežmarių mokyklos-darželio „Vaikystės dvaras“ direktorius</t>
  </si>
  <si>
    <t>Kaišiadorių Algirdo Brazausko gimnazijos direktorius</t>
  </si>
  <si>
    <t>Kaišiadorių r. Žiežmarių gimnazijos direktorius</t>
  </si>
  <si>
    <t>Kaišiadorių r. Rumšiškių Antano Baranausko gimnazijos direktorius</t>
  </si>
  <si>
    <t>Kaišiadorių r. Kruonio pagrindinės mokyklos direktorius</t>
  </si>
  <si>
    <t>Kaišiadorių Vaclovo Giržado progimnazijos direktorius</t>
  </si>
  <si>
    <t>Kaišiadorių r. Žaslių pagrindinės mokyklos direktorius</t>
  </si>
  <si>
    <t>Kaišiadorių rajono Palomenės pagrindinės mokyklos direktorius</t>
  </si>
  <si>
    <t>Kaišiadorių suaugusiųjų mokyklos direktorius</t>
  </si>
  <si>
    <t>Kaišiadorių šventosios Faustinos ugdymo centro direktorius</t>
  </si>
  <si>
    <t>Kaišiadorių pedagoginės psichologinės tarnybos direktorius</t>
  </si>
  <si>
    <t>Kaišiadorių meno mokyklos direktorius</t>
  </si>
  <si>
    <t>PĮ</t>
  </si>
  <si>
    <t>Kaišiadorių švietimo ir sporto centro direktorius</t>
  </si>
  <si>
    <t xml:space="preserve">Kaišiadorių Jono Aisčio bibliotekos direktorius </t>
  </si>
  <si>
    <t>Kaišiadorių muziejaus direktorius</t>
  </si>
  <si>
    <t>Kaišiadorių kultūros centro direktorius</t>
  </si>
  <si>
    <t>Kruonio kultūros centro direktorius</t>
  </si>
  <si>
    <t>Palomenės kultūros centro direktorius</t>
  </si>
  <si>
    <t>Rumšiškių kultūros centro direktorius</t>
  </si>
  <si>
    <t>Žaslių kultūros centro direktorius</t>
  </si>
  <si>
    <t>Žiežmarių kultūros centro direktorius</t>
  </si>
  <si>
    <t>Kaišiadorių socialinių paslaugų centro direktorius</t>
  </si>
  <si>
    <t>Kaišiadorių rajono savivaldybės visuomenės sveikatos biuro direktorius</t>
  </si>
  <si>
    <t>06</t>
  </si>
  <si>
    <t>Savivaldybės biudžetinių įstaigų ūkinio bei materialinio aptarnavimo užtikrinimas</t>
  </si>
  <si>
    <t>Biudžetinių įstaigų vadovai</t>
  </si>
  <si>
    <t>Kaišiadorių rajono priešgaisrinės tarnybos viršininkas</t>
  </si>
  <si>
    <t>Kaišiadorių lopšelio-darželio „Žvaigždutė“ direktorius</t>
  </si>
  <si>
    <t xml:space="preserve">Kaišiadorių Jono Aisčio viešosios bibliotekos direktorius </t>
  </si>
  <si>
    <t>07</t>
  </si>
  <si>
    <t>Paskolų ir panaudotų dotacijų grąžinimas ir palūkanos</t>
  </si>
  <si>
    <t>08</t>
  </si>
  <si>
    <t>Lygių galimybių, moterų ir vyrų lygybės, politikos įgyvendinimas</t>
  </si>
  <si>
    <t>Civilinės metrikacijos ir archyvo skyrius</t>
  </si>
  <si>
    <t>1.1-1-9</t>
  </si>
  <si>
    <t>09</t>
  </si>
  <si>
    <t>Humanitarinės pagalbos teikimas</t>
  </si>
  <si>
    <t>Iš viso uždaviniui:</t>
  </si>
  <si>
    <t>Mažinti administracinę naštą savivaldybės administracijoje</t>
  </si>
  <si>
    <t>Administracinės naštos mažinimo priemonių įgyvendinimas savivaldybės administracijoje</t>
  </si>
  <si>
    <t>Iš viso tikslui:</t>
  </si>
  <si>
    <t>Užtikrinti efektyvų valstybinių (valstybės perduotų savivaldybei) funkcijų vykdymą</t>
  </si>
  <si>
    <t>Įgyvendinti valstybines (valstybės perduotas savivaldybei) funkcijas</t>
  </si>
  <si>
    <t>Gyventojų registro tvarkymas ir duomenų valstybės registrams teikimas</t>
  </si>
  <si>
    <t>VBD</t>
  </si>
  <si>
    <t>Civilinės būklės aktų registravimas</t>
  </si>
  <si>
    <t>Savivaldybei pagal teisės aktus priskirtų archyvinių dokumentų tvarkymas</t>
  </si>
  <si>
    <t>Valstybės garantuojamos pirminės teisinės pagalbos teikimas</t>
  </si>
  <si>
    <t>Teisės ir viešųjų pirkimų skyrius</t>
  </si>
  <si>
    <t>Gyvenamosios vietos deklaravimo duomenų ir gyvenamosios vietos neturinčių asmenų apskaitos duomenų tvarkymas</t>
  </si>
  <si>
    <t>Duomenų teikimas Suteiktos valstybės pagalbos registrui</t>
  </si>
  <si>
    <t>Ūkio plėtros ir statybos skyrius</t>
  </si>
  <si>
    <t>Civilinės saugos organizavimas</t>
  </si>
  <si>
    <t>3.4-1-7</t>
  </si>
  <si>
    <t>Dalyvavimas rengiant ir vykdant mobilizaciją, demobilizaciją, priimančiosios šalies paramą</t>
  </si>
  <si>
    <t>Žemės ūkio ir aplinkosaugos skyrius</t>
  </si>
  <si>
    <t>Priešgaisrinės saugos organizavimas</t>
  </si>
  <si>
    <t>Priešgaisrinės tarnybos viršininkas</t>
  </si>
  <si>
    <t>Kaišiadorių rajono priešgaisrinė tarnyba</t>
  </si>
  <si>
    <t>3.4-1-3</t>
  </si>
  <si>
    <t>10</t>
  </si>
  <si>
    <t>Kaišiadorių rajono savivaldybės neveiksnių asmenų būklės peržiūrėjimo komisijos veiklos administravimas</t>
  </si>
  <si>
    <t xml:space="preserve">Socialinės paramos skyrius                 </t>
  </si>
  <si>
    <t>11</t>
  </si>
  <si>
    <t>Tarpinstitucinio bendradarbiavimo koordinatoriaus veiklos organizavimas</t>
  </si>
  <si>
    <t>Tarpinstitucinio bendradarbiavimo koordinatorius</t>
  </si>
  <si>
    <t>1.1-1-10</t>
  </si>
  <si>
    <t>12</t>
  </si>
  <si>
    <t>Valstybinės kalbos vartojimo ir taisyklingumo kontrolės vykdymas</t>
  </si>
  <si>
    <t>Švietimo, kultūros ir sporto skyrius</t>
  </si>
  <si>
    <t>13</t>
  </si>
  <si>
    <t>Savivaldybės teritorijoje esančių miestų ir miestelių teritorijų ribose valstybinės žemės, perduotos LRV nutarimu, patikėtinio funkcijai atlikti</t>
  </si>
  <si>
    <t>Architektūros ir teritorijų planavimo skyrius</t>
  </si>
  <si>
    <t>Turto valdymo skyrius</t>
  </si>
  <si>
    <t>Vykdyti kitas Lietuvos Respublikos teisės aktais savivaldybei pavestas funkcijas</t>
  </si>
  <si>
    <t>Mero rezervo lėšomis finansuojamų priemonių vykdymas</t>
  </si>
  <si>
    <t>Gerinti viešosios tvarkos, gyventojų saugumo užtikrinimą, bendradarbiaujant su visuomene, teisėsaugos institucijomis, kitomis viešojo administravimo institucijomis, socialiniais partneriais (verslo bendruomene ir visuomeninėmis organizacijomis).</t>
  </si>
  <si>
    <t>Gerinti gyventojų saugumo būklę savivaldybėje</t>
  </si>
  <si>
    <t xml:space="preserve">Prevencinių priemonių saugumui savivaldybėje užtikrinti vykdymas  </t>
  </si>
  <si>
    <t>3.4-1-8; 3.4-1-9</t>
  </si>
  <si>
    <t>Gyventojų perspėjimo ir informavimo sistemos dalinis rekonstravimas, eksploatavimas ir kitų ryšio paslaugų išlaidų apmokėjimas</t>
  </si>
  <si>
    <t>Bendrojo skyriaus parengties pareigūnas</t>
  </si>
  <si>
    <t>3.4-1-2</t>
  </si>
  <si>
    <t>Užtikrinti efektyvų seniūnijų ir seniūnų funkcijų vykdymą</t>
  </si>
  <si>
    <t>Organizuoti seniūno ir seniūnijos funkcijų įgyvendinimą bei visuomenei naudingų darbų atlikimą seniūnijose</t>
  </si>
  <si>
    <t xml:space="preserve">Seniūnijų ir seniūnų funkcijų vykdymas bei visuomenei naudingos veiklos organizavimas </t>
  </si>
  <si>
    <t>Kaišiadorių miesto seniūnas</t>
  </si>
  <si>
    <t>Seniūnijos</t>
  </si>
  <si>
    <t>Kaišiadorių apylinkės seniūnas</t>
  </si>
  <si>
    <t>Kruonio seniūnas</t>
  </si>
  <si>
    <t>Nemaitonių seniūnas</t>
  </si>
  <si>
    <t>Palomenės seniūnas</t>
  </si>
  <si>
    <t>Paparčių seniūnas</t>
  </si>
  <si>
    <t>Pravieniškių seniūnas</t>
  </si>
  <si>
    <t>Rumšiškių seniūnas</t>
  </si>
  <si>
    <t>Žaslių seniūnas</t>
  </si>
  <si>
    <t>Žiežmarių apylinkės seniūnas</t>
  </si>
  <si>
    <t>Žiežmarių seniūnas</t>
  </si>
  <si>
    <t xml:space="preserve">Iš viso  programai: </t>
  </si>
  <si>
    <t>* P - pažangos uždavinys, T - tęstinės veiklos uždavinys, RP - regiono pažangos priemonė (projektas), PP - pažangos priemonė (projektas), TP - tęstinės veiklos priemonė, NF - nefinansinė priemonė</t>
  </si>
  <si>
    <t>Finansavimo šaltinių suvestinė (tūkst. Eur)</t>
  </si>
  <si>
    <t>Finansavimo šaltiniai</t>
  </si>
  <si>
    <t>Lėšų poreikis</t>
  </si>
  <si>
    <t>SAVIVALDYBĖS  LĖŠOS, IŠ VISO:</t>
  </si>
  <si>
    <t>Savivaldybės biudžetas (įskaitant skolintas lėšas) (SB)</t>
  </si>
  <si>
    <t>Iš jo, savivaldybės biudžeto lėšos (nuosavos, be ankstesnių metų likučio) (SBN)</t>
  </si>
  <si>
    <t>Lietuvos Respublikos valstybės biudžeto dotacijos (VBD)</t>
  </si>
  <si>
    <t xml:space="preserve">Pajamų įmokos ir kitos pajamos (PĮ) </t>
  </si>
  <si>
    <t>Tikslinės paskirties pajamos (TPP)</t>
  </si>
  <si>
    <t>Europos Sąjungos ir kitos tarptautinės finansinės paramos lėšos (ES)</t>
  </si>
  <si>
    <t>Skolintos lėšos (SL)</t>
  </si>
  <si>
    <t>Ankstesnių metų likučiai (AML)</t>
  </si>
  <si>
    <t>KITI ŠALTINIAI, IŠ VISO:</t>
  </si>
  <si>
    <t>Kiti šaltiniai (Europos Sąjungos finansinė parama projektams įgyvendinti ir kitos teisėtai gautos lėšos, nurodant atskirus šaltinius) (Kt)</t>
  </si>
  <si>
    <t>IŠ VISO programai finansuoti pagal finansavimo šaltinius (1 ir 2 punktai)</t>
  </si>
  <si>
    <t>Iš jų: regioninių pažangos priemonių lėšos (RPP)</t>
  </si>
  <si>
    <t>IŠ VISO:</t>
  </si>
  <si>
    <t>KAIŠIADORIŲ RAJONO SAVIVALDYBĖS 2025–2027 METŲ STRATEGINIO VEIKLOS PLANO 02 PROGRAMOS TIKSLŲ, UŽDAVINIŲ, PRIEMONIŲ IR IŠLAIDŲ SUVESTINĖ (tūkst. Eur)</t>
  </si>
  <si>
    <t xml:space="preserve">02 Švietimo, kultūros ir sporto programa </t>
  </si>
  <si>
    <t xml:space="preserve">Užtikrinti gyventojams kokybiškas ir prieinamas švietimo ir sporto paslaugas </t>
  </si>
  <si>
    <t>Užtikrinti privalomo formaliojo švietimo programų prieinamumą ir jų įgyvendinimo kokybę</t>
  </si>
  <si>
    <t>Valstybinės švietimo politikos vykdymo užtikrinimas</t>
  </si>
  <si>
    <t>2.1-1-1</t>
  </si>
  <si>
    <t>Mokymo lėšų paskirstymas ir panaudojimas pagal nustatytas tvarkas</t>
  </si>
  <si>
    <t>Savivaldybės mokyklų (klasių), skirtų šalies (regiono) mokiniams, turintiems specialiųjų ugdymosi poreikių, ir kitų savivaldybei perduotų įstaigų išlaikymas</t>
  </si>
  <si>
    <t>Mokytojų personalo optimizavimo ir atnaujinimo išlaidų finansavimas</t>
  </si>
  <si>
    <t xml:space="preserve"> Švietimo įstaigų veiklos organizavimas</t>
  </si>
  <si>
    <t>Socialinę riziką patiriančių pagal ikimokyklinio ugdymo programas ugdomų vaikų ugdymo, maitinimo ir pavėžėjimo finansavimas</t>
  </si>
  <si>
    <t>Įstaigos vadovas</t>
  </si>
  <si>
    <t>Pirmoko krepšelio skyrimas</t>
  </si>
  <si>
    <t>Savivaldybės biudžetinių švietimo įstaigų pedagoginių darbuotojų kelionės išlaidų dalinis finansavimas</t>
  </si>
  <si>
    <t>Profesinio orientavimo vykdymas</t>
  </si>
  <si>
    <t>2.1-3-1</t>
  </si>
  <si>
    <t xml:space="preserve">Projekto ,,Ugdymo prieinamumo didinimas ir plėtojimas Kaišiadorių rajono savivaldybėje“ vykdymas
</t>
  </si>
  <si>
    <t>PP</t>
  </si>
  <si>
    <t>Strateginio planavimo ir investicijų skyrius</t>
  </si>
  <si>
    <t>2.1-1-2</t>
  </si>
  <si>
    <t>ES</t>
  </si>
  <si>
    <t>„Tūkstantmečio mokyklų“ programos savivaldybės švietimo pažangos plano įgyvendinimas</t>
  </si>
  <si>
    <t>2.1-2-7</t>
  </si>
  <si>
    <t>Rumšiškių Antano Baranausko gimnazijos direktorius</t>
  </si>
  <si>
    <t>Švietimo pagalbos specialistų etatų finansavimas</t>
  </si>
  <si>
    <t xml:space="preserve">Įtraukiojo ugdymo aplinkų pritaikymo, aprūpinimo priemonėmis švietimo
įstaigose dalinis finansavimas
</t>
  </si>
  <si>
    <t>14</t>
  </si>
  <si>
    <t xml:space="preserve">Jaunųjų kūrėjų ugdymo programos finansavimas </t>
  </si>
  <si>
    <t>Užtikrinti neformaliojo švietimo ir sporto programų įvairovę ir jų įgyvendinimo kokybę</t>
  </si>
  <si>
    <t xml:space="preserve">Kaišiadorių rajono savivaldybės neformaliojo švietimo įstaigų veiklos užtikrinimas </t>
  </si>
  <si>
    <t>2.1-2-4</t>
  </si>
  <si>
    <t>Neformaliojo suaugusiųjų švietimo ir tęstinio mokymosi veiksmų plano finansavimas</t>
  </si>
  <si>
    <t>2.1-3-2</t>
  </si>
  <si>
    <t>8,,8</t>
  </si>
  <si>
    <t>Neformaliojo vaikų švietimo programų ir projektų finansavimas</t>
  </si>
  <si>
    <t>Gudienos mokyklos-darželio „Rugelis“ direktorius</t>
  </si>
  <si>
    <t>Žaslių pagrindinės mokyklos direktorius</t>
  </si>
  <si>
    <t>Projekto ,,Informacinių technologijų ir techninės kūrybos projektas Kaišiadorių, Jonavos ir Raseinių rajonų savivaldybėse“ vykdymas</t>
  </si>
  <si>
    <t>Užtikrinti mokinių specialiųjų ugdymosi poreikių įvertinimą ir pedagoginės psichologinės pagalbos teikimą</t>
  </si>
  <si>
    <t>Kaišiadorių pedagoginės psichologinės tarnybos veiklos užtikrinimas</t>
  </si>
  <si>
    <t>2.1-2-1</t>
  </si>
  <si>
    <t>Skatinti Kaišiadorių rajono savivaldybės gyventojų fizinį aktyvumą</t>
  </si>
  <si>
    <t>Sporto ir aktyvaus laisvalaikio plėtros projektų rėmimo organizavimas</t>
  </si>
  <si>
    <t>Gerinti kultūrinės aplinkos ir paslaugų kokybę bei prieinamumą</t>
  </si>
  <si>
    <t>Sudaryti sąlygas etninės kultūros, gyvosios tradicijos išsaugojimui, jų tęstinumui ir vietos savitumą puoselėjančiai veiklai, užtikrinti kultūros paslaugų įvairovę ir kokybę</t>
  </si>
  <si>
    <t xml:space="preserve">Kultūros įstaigų funkcijų vykdymas </t>
  </si>
  <si>
    <t>Kaišiadorių Jono Aisčio viešosios bibliotekos direktorius</t>
  </si>
  <si>
    <t>Projekto „Kaišiadorys – Lietuvos kultūros sostinė 2024. Kaišiadorys: kultūros keliai ir kelionės“ vykdymas</t>
  </si>
  <si>
    <t>2.2-1-3</t>
  </si>
  <si>
    <t>Saugoti, tvarkyti ir populiarinti Kaišiadorių rajono savivaldybės kultūros paveldą</t>
  </si>
  <si>
    <t>Kultūros paveldo stebėsena, išsaugojimas ir populiarinimas</t>
  </si>
  <si>
    <t>1.4-1-3</t>
  </si>
  <si>
    <t>Projekto „Žydų bendruomenės praeitis Žiežmariuose“ vykdymas</t>
  </si>
  <si>
    <t>Projekto „Žiežmarių sinagogos aktualizavimas ir įveiklinimas“ vykdymas“</t>
  </si>
  <si>
    <t>Skatinti aktyvesnę mėgėjų meno kolektyvų, kultūros organizacijų, atskirų menininkų veiklą</t>
  </si>
  <si>
    <t xml:space="preserve">Kultūrinių iniciatyvų skatinimas ir puoselėjimas </t>
  </si>
  <si>
    <t>2.2-1-5; 2.2-1-6</t>
  </si>
  <si>
    <t>KAIŠIADORIŲ RAJONO SAVIVALDYBĖS 2025–2027 METŲ STRATEGINIO VEIKLOS PLANO 03 PROGRAMOS TIKSLŲ, UŽDAVINIŲ, PRIEMONIŲ IR IŠLAIDŲ SUVESTINĖ (tūkst. Eur)</t>
  </si>
  <si>
    <t xml:space="preserve">03 Sveikatos ir socialinės apsaugos programa </t>
  </si>
  <si>
    <t>Įgyvendinti Lietuvos Respublikos įstatymais, Vyriausybės nutarimais ir kitais teisės aktais reglamentuotas piniginę socialinę paramą, pašalpas, išmokas</t>
  </si>
  <si>
    <t>Skirti ir teikti piniginę paramą savivaldybės gyventojams, vykdant valstybines (perduotas savivaldybėms) ir savarankiškąsias savivaldybių funkcijas</t>
  </si>
  <si>
    <t>Socialinių išmokų ir kompensacijų, finansuojamų iš specialios tikslinės dotacijos, skyrimas</t>
  </si>
  <si>
    <t>Piniginės socialinės paramos, pašalpų, išmokų globėjams (rūpintojams), sąlyginių ir kitų išmokų iš savivaldybės biudžeto skyrimas</t>
  </si>
  <si>
    <t xml:space="preserve">Socialinės paramos skyrius  </t>
  </si>
  <si>
    <t>2.3-3-1</t>
  </si>
  <si>
    <t>Iš valstybės biudžeto finansuojamų išmokų, pensijų, kompensacijų mokėjimas</t>
  </si>
  <si>
    <t xml:space="preserve">Socialinės paramos skyrius                     </t>
  </si>
  <si>
    <t>Kt</t>
  </si>
  <si>
    <t>Išmokų, kompensacijų užsieniečiams, pasitraukusiems iš Ukrainos dėl Rusijos Federacijos karinių veiksmų Ukrainoje, skyrimas ir mokėjimas iš valstybės biudžeto lėšų</t>
  </si>
  <si>
    <t>Kūdikio kraitelio naujagimiams skyrimas</t>
  </si>
  <si>
    <t>Užtikrinti socialinę paramą mokiniams</t>
  </si>
  <si>
    <t>Socialinės paramos mokiniams, finansuojamos iš specialios tikslinės dotacijos, skyrimas ir išlaidų iš savivaldybės biudžeto finansavimas</t>
  </si>
  <si>
    <t>Socialinės paramos skyrius</t>
  </si>
  <si>
    <t>Kaišiadorių lopšelio-darželio „Spindulys" direktorius</t>
  </si>
  <si>
    <t>Lėšų Lietuvos Respublikos socialinės paramos mokiniams įstatymo 4 straipsnio 2 dalies 4 punkte nustatytoms išlaidoms skyrimas mokykloms</t>
  </si>
  <si>
    <t>Kaišiadorių lopšelis-darželis „Spindulys" direktorius</t>
  </si>
  <si>
    <t>Kaišiadorių r. Rumšiškių lopšelio-darželos direktorius</t>
  </si>
  <si>
    <t>Užtikrinti Lietuvos Respublikos įstatymuose, Vyriausybės nutarimuose ir kituose teisės aktuose nustatytų visų piniginių išmokų bei paramos, socialinių programų, socialinio darbo organizavimą, socialinės veiklos administravimą ir vykdymą savivaldybėje</t>
  </si>
  <si>
    <t>Socialinio darbo, socialinės paramos organizavimo užtikrinimas savivaldybėje bei piniginės socialinės paramos, išmokų, socialinių paslaugų, socialinės paramos mokiniams, neįgaliųjų socialinės integracijos administravimo, turto įsigijimo ir kt. išlaidų padengimas</t>
  </si>
  <si>
    <t>2.3-1-1; 2.3-1-5</t>
  </si>
  <si>
    <t>Socialinių paslaugų šakos kolektyvinės sutarties įsipareigojimų įgyvendinimas</t>
  </si>
  <si>
    <t>Užtikrinti gyventojų poreikius atitinkančių socialinių paslaugų infrastruktūrą ir jos apimtis bei skatinti socialinės veiklos, socialinio darbo iniciatyvas</t>
  </si>
  <si>
    <t>Tenkinti poreikius socialinėms paslaugoms įvairių socialinių grupių gyventojams, plėtoti socialines paslaugas ir (ar) socialinį darbą.</t>
  </si>
  <si>
    <t>Socialinių paslaugų, socialinės paramos įvairioms gyventojų socialinėms grupėms organizavimas iniciatyvų rėmimas</t>
  </si>
  <si>
    <t xml:space="preserve">Socialinės paramos skyrius              </t>
  </si>
  <si>
    <t>2.3-1-2; 2.3-1-5</t>
  </si>
  <si>
    <t>Kaišiadorių socialinių paslaugų centro veiklos, vykdant privalomus teisės aktus bei socialinių paslaugų prieinamumą gyventojams, užtikrinimas</t>
  </si>
  <si>
    <t xml:space="preserve">Kaišiadorių socialinių paslaugų centro direktorius  </t>
  </si>
  <si>
    <t>Bendruomeninių šeimos namų finansavimas</t>
  </si>
  <si>
    <t>Akredituotos vaikų dienos socialinės priežiūros finansavimas</t>
  </si>
  <si>
    <t xml:space="preserve">Savivaldybės administracijos direktorius                   </t>
  </si>
  <si>
    <t xml:space="preserve">Socialinės paramos skyrius                   </t>
  </si>
  <si>
    <t>2.3-3-3</t>
  </si>
  <si>
    <t>Projekto „Nestacionarių socialinių paslaugų plėtojimas Kaišiadorių rajone“ vykdymas</t>
  </si>
  <si>
    <t>2.3-1-2; 2.3-3-3</t>
  </si>
  <si>
    <t>Projekto „Socialinių paslaugų įstaigų senyvo amžiaus asmenims infrastruktūros plėtra Kaišiadorių rajono savivaldybėje“ vykdymas</t>
  </si>
  <si>
    <t>2.3-1-1</t>
  </si>
  <si>
    <t>Rūpintis rajono asmenimis su negalia, vykdyti neįgaliųjų socialinės integracijos priemones</t>
  </si>
  <si>
    <t>Skatinti žmonių su negalia socialinį savarankiškumą, dalyvavimo galimybių didėjimą ir veiklos ribojimo mažėjimą, siekiant užtikrinti lygias teises ir galimybes dalyvauti visuomenės gyvenime</t>
  </si>
  <si>
    <t xml:space="preserve">Būsto pritaikymo asmenims su negalia, priežiūros ir administravimo finansavimas </t>
  </si>
  <si>
    <t>2.3-2-2</t>
  </si>
  <si>
    <t>Įvairių mokymų, sporto, proginių, kultūrinių renginių, išvykų, švenčių, stovyklų, socialinių akcijų neįgaliesiems ir jų šeimoms organizavimas ir finansavimas</t>
  </si>
  <si>
    <t>2.2-1-8; 2.4-2-2</t>
  </si>
  <si>
    <t>Akredituotos socialinės reabilitacijos neįgaliesiems bendruomenėje teikimo finansavimas  iš valstybės biudžeto</t>
  </si>
  <si>
    <t>2.3-1-1; 2.3-1-2</t>
  </si>
  <si>
    <t>Asmeninės pagalbos teikimas</t>
  </si>
  <si>
    <t>2.3-1-5</t>
  </si>
  <si>
    <t>Socialinių paslaugų neįgaliesiems ir jų šeimoms organizavimas ir teikimas bei socialinių programų vykdymas</t>
  </si>
  <si>
    <t>Asmenų su negalia reikalų koordinavimas</t>
  </si>
  <si>
    <t>Projekto „Perėjimas nuo institucinės globos prie bendruomeninių paslaugų Sostinės regione, Vidurio ir vakarų Lietuvos regione“ vykdymas</t>
  </si>
  <si>
    <t>2.3-1-2</t>
  </si>
  <si>
    <t>Projekto „Socialinės priežiūros socialinių paslaugų plėtra Kaišiadorių rajono savivaldybėje“ vykdymas</t>
  </si>
  <si>
    <t>2.3-3-3; 2.3-1-5</t>
  </si>
  <si>
    <r>
      <t>Sudaryti galimybes Kaišiadorių rajono savivaldybėje gyvenantiems</t>
    </r>
    <r>
      <rPr>
        <b/>
        <u/>
        <sz val="9"/>
        <color rgb="FF000000"/>
        <rFont val="Times New Roman"/>
        <family val="1"/>
      </rPr>
      <t xml:space="preserve"> ir Užimtumo tarnyboje registruotiems asmenims, nurodytiems </t>
    </r>
    <r>
      <rPr>
        <b/>
        <sz val="9"/>
        <color rgb="FF000000"/>
        <rFont val="Times New Roman"/>
        <family val="1"/>
      </rPr>
      <t> Lietuvos Respublikos užimtumo įstatymo 48 straipsnio  2 dalyje, greičiau integruotis į darbo rinką, mažinti socialinę įtampą, skatinti jų darbinę motyvaciją bei socialinius ir darbinius įgūdžius</t>
    </r>
  </si>
  <si>
    <t>Pasiekti kuo didesnį gyventojų užimtumą, kad Kaišiadorių rajono savivaldybėje Užimtumo tarnyboje registruoti asmenys, nurodyti Užimtumo įstatymo 48 straipsnio 2 dalyje, galėtų rasti darbą ir užsitikrinti tinkamą pragyvenimo lygį</t>
  </si>
  <si>
    <t>Laikino pobūdžio darbų organizavimas</t>
  </si>
  <si>
    <t xml:space="preserve">2.3-2-5 </t>
  </si>
  <si>
    <t>Užimtumo skatinimo ir motyvavimo paslaugų darbo rinkai besirengiantiems asmenims organizavimas</t>
  </si>
  <si>
    <t>Plėtoti sveikatos priežiūros paslaugas ir joms teikti būtiną infrastruktūrą</t>
  </si>
  <si>
    <t>Vykdyti visuomenės sveikatos priežiūrą, propaguoti sveiką gyvenseną</t>
  </si>
  <si>
    <t>Visuomenės sveikatos priežiūros funkcijų vykdymas</t>
  </si>
  <si>
    <t>2.4-1-8</t>
  </si>
  <si>
    <t>Visuomenės sveikatos rėmimo specialiosios programos vykdymas</t>
  </si>
  <si>
    <t>Savivaldybės gydytojas</t>
  </si>
  <si>
    <t>TPP</t>
  </si>
  <si>
    <t>Projekto ,,Visuomenės sveikatos paslaugų kokybės gerinimas Kaišiadorių rajone“ vykdymas</t>
  </si>
  <si>
    <t>Siekti, kad kuo daugiau nustatytų kategorijų asmenų galėtų pasinaudoti kompensuojamomis paslaugomis ir kitomis savivaldybės remiamomis sveikatos priežiūros paslaugomis</t>
  </si>
  <si>
    <t xml:space="preserve">Sveikatos įstaigų patirtų išlaidų kompensavimas </t>
  </si>
  <si>
    <t>Kaišiadorių rajono savivaldybei pavaldžioms asmens sveikatos priežiūros įstaigoms reikalingos medicinos įrangos įsigijimas</t>
  </si>
  <si>
    <t>2.4-1-1</t>
  </si>
  <si>
    <t>Paciento nuvežimo  ir (ar) parvežimo, kai pacientui nereikalinga skubioji medicinos pagalba, paslauga (išskyrus pirmines ambulatorines šeimos gydytojo ir pirmines ambulatorines odontologijos paslaugas), organizavimas ir teikimas</t>
  </si>
  <si>
    <t>Žmonių palaikų pervežimas, nenustatytos tapatybės žmogaus palaikų bei žmogaus embrionų laidojimo paslaugų teikimas</t>
  </si>
  <si>
    <t>Projekto „Ilgalaikės priežiūros paslaugų plėtojimo užtikrinimas Kaišiadorių rajone" vykdymas</t>
  </si>
  <si>
    <t>2.4-1-5</t>
  </si>
  <si>
    <t>Projekto „Mobilios komandos Kaišiadorių r. savivaldybėje aprūpinimas įranga ir transporto priemonėmis“ vykdymas</t>
  </si>
  <si>
    <t>Projekto „Sveikatos centro sudėtyje teikiamų sveikatos priežiūros paslaugų infrastruktūros modernizavimas Kaišiadorių rajono savivaldybėje“ vykdymas</t>
  </si>
  <si>
    <t>2.4-1-3</t>
  </si>
  <si>
    <t>Projekto „Sveikatos specialistų rengimas, pritraukimas Kaišiadorių rajono savivaldybėje“ vykdymas“</t>
  </si>
  <si>
    <t>Projekto „Sveikatos centro veiklos modelio diegimas Kaišiadorių rajono savivaldybėje“ vykdymas</t>
  </si>
  <si>
    <t>Administruoti savivaldybės valdomą turtą</t>
  </si>
  <si>
    <t>Plėtoti ir nuomoti savivaldybės būstus bei savivaldybės socialinius būstus</t>
  </si>
  <si>
    <t>Savivaldybės būstų ir socialinių būstų nuoma, Savivaldybės būsto ir socialinio būsto fondo plėtra, būsto nuomos ar išperkamosios nuomos mokesčių dalies kompensavimas</t>
  </si>
  <si>
    <t>2.3-2-1</t>
  </si>
  <si>
    <t>Seniūnijos teritorijoje esančių savivaldybės ir socialinių būstų remontas, priežiūra</t>
  </si>
  <si>
    <t xml:space="preserve">Projekto „Socialinio būsto fondo neįgaliesiems ir gausioms šeimoms plėtra Kaišiadorių rajono savivaldybėje“ vykdymas </t>
  </si>
  <si>
    <t>Projekto „Socialinio būsto fondo plėtra Kaišiadorių rajono savivaldybėje“ vykdymas</t>
  </si>
  <si>
    <t>Įgyvendinti jaunimo politiką</t>
  </si>
  <si>
    <t>Sudaryti palankias sąlygas formuotis jauno žmogaus asmenybei ir jo integravimuisi į visuomenės gyvenimą</t>
  </si>
  <si>
    <t>Jaunimo reikalų koordinatoriaus veiklos organizavimas</t>
  </si>
  <si>
    <t>Jaunimo reikalų koordinatorius</t>
  </si>
  <si>
    <t>Jaunimo iniciatyvų rėmimas</t>
  </si>
  <si>
    <t>2.5-2-3</t>
  </si>
  <si>
    <t>Atviro darbo su jaunimu įgyvendinimas</t>
  </si>
  <si>
    <t>2.5-2-2</t>
  </si>
  <si>
    <t>Mobilus darbas su jaunimu</t>
  </si>
  <si>
    <t>KAIŠIADORIŲ RAJONO SAVIVALDYBĖS 2025–2027 METŲ STRATEGINIO VEIKLOS PLANO 04 PROGRAMOS TIKSLŲ, UŽDAVINIŲ, PRIEMONIŲ IR IŠLAIDŲ SUVESTINĖ (tūkst. Eur)</t>
  </si>
  <si>
    <t xml:space="preserve">04 Žemės ūkio ir aplinkos apsaugos programa </t>
  </si>
  <si>
    <t>Išsaugoti ir gerinti aplinkos kokybę</t>
  </si>
  <si>
    <t>Kurti efektyvią komunalinių atliekų tvarkymo sistemą</t>
  </si>
  <si>
    <t>Atliekų tvarkymo infrastruktūros plėtros priemonių įgyvendinimas</t>
  </si>
  <si>
    <t>3.3-1-1</t>
  </si>
  <si>
    <t>Atliekų, kurių turėtojo nustatyti neįmanoma arba kuris nebeegzistuoja, tvarkymas</t>
  </si>
  <si>
    <t>Projekto „Komunalinių atliekų tvarkymo infrastruktūros plėtra Kaišiadorių rajono savivaldybėje“ vykdymas</t>
  </si>
  <si>
    <t>3.3-1-1; 3.3-1-2</t>
  </si>
  <si>
    <t>SL</t>
  </si>
  <si>
    <t>Projekto „Rūšiuojamojo atliekų surinkimo skatinimas Kaišiadorių rajono savivaldybėje“ vykdymas</t>
  </si>
  <si>
    <t>Projekto „Raseinių, Kėdainių, Kaišiadorių, Jonavos, Kauno rajonuose didelių gabaritų atliekų surinkimo aikštelių įrengimas“ vykdymas</t>
  </si>
  <si>
    <t>Strateginio planavimo ir investicijų skyriu</t>
  </si>
  <si>
    <t>Užtikrinti saugią ir švarią gamtinę aplinką</t>
  </si>
  <si>
    <t>Aplinkos kokybės gerinimo ir apsaugos priemonių įgyvendinimas</t>
  </si>
  <si>
    <t>3.3-1-4; 3.3-2-1; 3.3-2-2; 3.3-2-3; 3.3-2-9</t>
  </si>
  <si>
    <t>Želdynų ir želdinių apsaugos, tvarkymo, būklės stebėsenos, želdynų kūrimo, želdinių veisimo, inventorizavimo priemonių įgyvendinimas</t>
  </si>
  <si>
    <t>3.3-2-4</t>
  </si>
  <si>
    <t>Visuomenės švietimas ir mokymas aplinkosaugos klausimais</t>
  </si>
  <si>
    <t>3.3-1-3</t>
  </si>
  <si>
    <t>Aplinkos monitoringo, prevencinių ir aplinkos atkūrimo priemonių įgyvendinimas</t>
  </si>
  <si>
    <t>3.3-2-1; 3.3-2-2; 3.3-2-3</t>
  </si>
  <si>
    <t xml:space="preserve">Seniūnijų kelių valymas, bendro naudojimo teritorijų tvarkymas, priežiūra, atliekų tvarkymas, gyventojų skatinimas puoselėti aplinką </t>
  </si>
  <si>
    <t>Savivaldybės seniūnijos</t>
  </si>
  <si>
    <t>3.3-2-9; 3.3-1-3</t>
  </si>
  <si>
    <t>Gerinti aplinkos kokybę taikant prevencines priemones</t>
  </si>
  <si>
    <t>Finansinės paramos suteikimas žemės sklypų, kuriuose medžioklė neuždrausta, savininkams, valdytojams ir naudotojams medžiojamųjų gyvūnų daromos žalos prevencijos priemonėms įgyvendinti ir medžioklės plotų vienetų sudarymo ar jų ribų pakeitimo projektų parengimas</t>
  </si>
  <si>
    <t>Bebraviečių ardymas</t>
  </si>
  <si>
    <t>Bešeimininkių gyvūnų augintinių skaičiaus mažinimas, bepriežiūrių ir bešeimininkių gyvūnų perdavimas globai, reikalingos infrastruktūros kūrimas ir priemonių įsigijimas</t>
  </si>
  <si>
    <t>3.3-2-8</t>
  </si>
  <si>
    <t>Kurti patrauklias gyvenimo, žemės ūkio veiklos sąlygas ir ekonominę plėtrą kaimo vietovėse</t>
  </si>
  <si>
    <t>Gerinti žemės ūkio veiklos sąlygas</t>
  </si>
  <si>
    <t>Paramos žemdirbiams nelaimės atveju ar patyrus nuostolių, nepriklausančių nuo ūkininkavimo lygio, teikimas</t>
  </si>
  <si>
    <t>Žemdirbių švietėjiškos veiklos vykdymas</t>
  </si>
  <si>
    <t>1.3-1-2</t>
  </si>
  <si>
    <t xml:space="preserve">Ūkininko ūkio įregistravimo pažymėjimų, traktoriaus ir savaeigės mašinos registracijos liudijimų bei techninės apžiūros talonų įsigijimas, numerio ženklų traktoriams, priekaboms ir savaeigėms mašinoms </t>
  </si>
  <si>
    <t>Valstybinių (valstybės perduotų savivaldybėms) žemės ūkio funkcijų vykdymas, saugaus valstybinio duomenų tinklo kanalų priežiūra</t>
  </si>
  <si>
    <t>Gerinti melioracijos infrastruktūrą</t>
  </si>
  <si>
    <t>Hidrotechninių statinių remontas</t>
  </si>
  <si>
    <t>1.3-1-1</t>
  </si>
  <si>
    <t>Melioracijos statinių remonto darbų, medžiagų dalinis kompensavimas</t>
  </si>
  <si>
    <t>Rekonstruotų melioracijos statinių priežiūra</t>
  </si>
  <si>
    <t>Valstybei nuosavybės teise priklausančių melioracijos statinių priežiūros ir remonto organizavimas ir vykdymas</t>
  </si>
  <si>
    <t>Projekto „Kaišiadorių rajono savivaldybės dalies melioracijos griovių ir juose esančių statinių rekonstrukcija“ vykdymas</t>
  </si>
  <si>
    <t>KAIŠIADORIŲ RAJONO SAVIVALDYBĖS 2025–2027 METŲ STRATEGINIO VEIKLOS PLANO 05 PROGRAMOS TIKSLŲ, UŽDAVINIŲ, PRIEMONIŲ IR IŠLAIDŲ SUVESTINĖ (tūkst. Eur)</t>
  </si>
  <si>
    <t>Savivaldybės strateginio plėtros plano  priemonės kodas</t>
  </si>
  <si>
    <t>05 Investicijų, ūkio ir teritorijų planavimo programa</t>
  </si>
  <si>
    <t>Gerinti rajono infrastruktūra</t>
  </si>
  <si>
    <t>Gerinti bei plėtoti kelių ir gatvių infrastruktūrą</t>
  </si>
  <si>
    <t>Savivaldybės vietinės reikšmės kelių, gatvių, takų tiesimas, taisymas (remontas) ir priežiūra</t>
  </si>
  <si>
    <t>3.1-1-2</t>
  </si>
  <si>
    <t>Elektromobilių įkrovimo stotelių įrengimas</t>
  </si>
  <si>
    <t>3.1-2-8</t>
  </si>
  <si>
    <t>Projekto ,,Kaišiadorių rajono savivaldybės teritorijoje esančių gatvių infrastruktūros modernizavimas“ vykdymas</t>
  </si>
  <si>
    <t>3.1-1-1; 3.1-1-2</t>
  </si>
  <si>
    <t xml:space="preserve">Gerinti apšvietimo sistemos infrastruktūrą rajone </t>
  </si>
  <si>
    <t xml:space="preserve">Apšvietimo sistemų tvarkymas ir plėtra </t>
  </si>
  <si>
    <t>3.2-2-5</t>
  </si>
  <si>
    <t>ESO vykdomų darbų prisidėjimo dalis</t>
  </si>
  <si>
    <t xml:space="preserve">Gerinti vandentiekio ir nuotekų infrastruktūrą </t>
  </si>
  <si>
    <t>Kaišiadorių rajono lietaus nuotekų tvarkymas ir tinklų priežiūra</t>
  </si>
  <si>
    <t>3.2-1-1; 3.2-1-4</t>
  </si>
  <si>
    <t>Projekto „Nuotekų valymo įrenginių ir nuotekų ūkio rekonstrukcija Pravieniškių kaime, Kaišiadorių rajone“ vykdymas</t>
  </si>
  <si>
    <t>3.2-1-4; 3.2-1-3</t>
  </si>
  <si>
    <t xml:space="preserve">Projekto ,,Geriamojo vandens tiekimo ir nuotekų tvarkymo paslaugų prieinamumo didinimas Kaišiadorių rajono savivaldybėje“ vykdymas </t>
  </si>
  <si>
    <t>3.2-1-3</t>
  </si>
  <si>
    <t>UAB „Kaišiadorių vandenys“ direktorius</t>
  </si>
  <si>
    <t>Mažinti energijos vartojimą ir išnaudoti atsinaujinančių energijos išteklių potencialą</t>
  </si>
  <si>
    <t>Atsinaujinančių energijos išteklių panaudojimas visuomenės ir gyvenamosios paskirties pastatuose</t>
  </si>
  <si>
    <t>3.2-2-4</t>
  </si>
  <si>
    <t>Energinio efektyvumo didinimo daugiabučiuose namuose programos finansavimas</t>
  </si>
  <si>
    <t>3.2-2-2</t>
  </si>
  <si>
    <t xml:space="preserve">Projekto „ComActivate“ vykdymas“ </t>
  </si>
  <si>
    <t>3.2-2-3</t>
  </si>
  <si>
    <t>Atnaujinti ir plėtoti viešojo transporto infrastruktūrą bei užtikrinti viešojo transporto paslaugos teikimą gyventojams</t>
  </si>
  <si>
    <t xml:space="preserve">Paslaugų vykdymas, suteikiant keleivinio transporto viešąsias paslaugas </t>
  </si>
  <si>
    <t>3.1-2-4; 3.1-2-5</t>
  </si>
  <si>
    <t>Mokinių vežiojimo į mokyklas ir atgal į namus užtikrinimas</t>
  </si>
  <si>
    <t>Švietimo skyrius</t>
  </si>
  <si>
    <t>Projekto „Susisiekimo infrastruktūros tobulinimas“ vykdymas</t>
  </si>
  <si>
    <t>SĮ „Kaišiadorių paslaugos“</t>
  </si>
  <si>
    <t>3.1-1-1</t>
  </si>
  <si>
    <t>Projekto „SĮ ,,Kaišiadorių paslaugos“ miesto ir priemiestinio viešojo transporto priemonių parko atnaujinimas“ vykdymas</t>
  </si>
  <si>
    <t>3.1-2-4; 3.1-2-6</t>
  </si>
  <si>
    <t>Įgyvendinti savivaldybės infrastruktūros plėtros rėmimo programą</t>
  </si>
  <si>
    <t>Savivaldybės infrastruktūros plėtros įmokos</t>
  </si>
  <si>
    <t>Užtikrinti darnią teritorinę plėtrą ir kokybišką gyvenamąją aplinką</t>
  </si>
  <si>
    <t>Vykdyti savivaldybės objektų remontą ir gerinti gyvenamąją aplinką</t>
  </si>
  <si>
    <t>Savivaldybei priklausančių pastatų, statinių remontas, eksploatacija bei jų priežiūra</t>
  </si>
  <si>
    <t>3.4-2-1</t>
  </si>
  <si>
    <t>Savivaldybei priklausančių pastatų ir statinių techninių projektų parengimas, ekspertizių atlikimas, techninių priemonių įsigijimas, VTPSI mokesčių mokėjimas</t>
  </si>
  <si>
    <t>Gyvenamosios aplinkos ir viešosios infrastruktūros plėtros ir priežiūros finansavimas</t>
  </si>
  <si>
    <t>3.4-2-4</t>
  </si>
  <si>
    <t>Kaišiadorių rajono savivaldybės gyventojų iniciatyvų, skirtų gyvenamajai aplinkai ir viešajai infrastruktūrai gerinti ir kurti, projektų idėjų finansavimas</t>
  </si>
  <si>
    <t>Kaišiadorių miesto kultūros infrastruktūros optimizavimas, sukuriant multifunkcinę erdvę, pritaikytą vietos bendruomenės poreikiams (II etapas – muziejaus statyba)</t>
  </si>
  <si>
    <t>2.2-1-9</t>
  </si>
  <si>
    <t>Rumšiškių kultūros centro remontas</t>
  </si>
  <si>
    <t>Planuoti teritorijų plėtrą, administruoti valdomą turtą</t>
  </si>
  <si>
    <t>Siekiant racionalaus savivaldybės teritorijos išvystymo, rengti teritorijų planavimo ir žemėtvarkos dokumentų planus, projektų konkursus urbanistinei ir architektūrinei idėjai išreikšti</t>
  </si>
  <si>
    <t>Teritorijų planavimo ir žemėtvarkos dokumentų rengimas</t>
  </si>
  <si>
    <t>Projektų konkursų urbanistinei ir architektūrinei idėjai išreikšti organizavimas</t>
  </si>
  <si>
    <t>Užtikrinant racionalų žemės sklypų valdymą ir naudojimą, rengti žemės sklypų planus ir topografines nuotraukas</t>
  </si>
  <si>
    <t>Topografiniai ir kadastriniai matavimai</t>
  </si>
  <si>
    <t>Žemės sklypų plėtra</t>
  </si>
  <si>
    <t>Kompleksinių ir specialiųjų planų skaitmenizavimas ir sukėlimas į TPDR</t>
  </si>
  <si>
    <t>1.1-1-7</t>
  </si>
  <si>
    <t xml:space="preserve">Inventorizuoti, įvertinti, įregistruoti savivaldybei priklausantį nekilnojamąjį turtą, vykdyti sandorius </t>
  </si>
  <si>
    <t>Nekilnojamojo ir kito turto vertinimas, inventorizavimas, sandorių vykdymas, teisinė registracija, duomenų išrašų gavimas, parduodamų objektų priežiūra (elektros galios mokestis, dujų abonentinis mokestis, išlaidos šildymui, remontas) ir apleistų teritorijų (bešeimininkių statinių) tvarkymas</t>
  </si>
  <si>
    <t>Didinti Kaišiadorių rajono savivaldybės gyvenamosios aplinkos patrauklumą</t>
  </si>
  <si>
    <t>Įgyvendinti ES lėšomis ir kitų fondų lėšomis finansuojamus investicinius projektus</t>
  </si>
  <si>
    <t>Investicinių projektų valdymas</t>
  </si>
  <si>
    <t>Vietos veiklos grupių  strategijų įgyvendinimas ir projektų pareiškėjų, kurie gauna finansavimą iš ES ir kitų programų, dalinis rėmimas</t>
  </si>
  <si>
    <t>2.5-1-2</t>
  </si>
  <si>
    <t>VšĮ Kauno regiono plėtros agentūros įgyvendinamų regioninių programų ir projektų dalinis finansavimas</t>
  </si>
  <si>
    <t>Gerinti investavimo ir verslo sąlygas savivaldybėje</t>
  </si>
  <si>
    <t>Skatinti verslo plėtrą</t>
  </si>
  <si>
    <t>Verslo aplinkos gerinimas</t>
  </si>
  <si>
    <t>1.2-1-3; 1.2-1-4; 1.2-1-6; 1.2-1-1</t>
  </si>
  <si>
    <t xml:space="preserve">Viešųjų paslaugų verslui teikimas </t>
  </si>
  <si>
    <t>Kaišiadorių turizmo ir verslo informacinis centras</t>
  </si>
  <si>
    <t>1.2-1-3</t>
  </si>
  <si>
    <t>Sklypo, esančio Pramonės g., Kaišiadoryse, pritaikymas gamybinei (komercinei) veiklai</t>
  </si>
  <si>
    <t>1.2-1-1</t>
  </si>
  <si>
    <t>Didinti Kaišiadorių rajono savivaldybės turistinį patrauklumą, skatinti turizmo paslaugų plėtrą</t>
  </si>
  <si>
    <t>Skatinti turizmą Kaišiadorių rajone</t>
  </si>
  <si>
    <t xml:space="preserve">Viešųjų turizmo paslaugų teikimas </t>
  </si>
  <si>
    <t>1.4-1-5</t>
  </si>
  <si>
    <t>1.4-1-3; 1.4-1-4; 1.4-1-5</t>
  </si>
  <si>
    <t>Projekto ,, Lietuvos etnografijos muziejaus pritaikymas lankymui“  vykdymas</t>
  </si>
  <si>
    <t>Projekto "Kultūros paveldo objektų pritaikymas lankymui Kaišiadorių rajono savivaldybėje</t>
  </si>
  <si>
    <t>Kurti palankią aplinką pilietinės visuomenės, bendruomenių ir kitų NVO vystymuisi</t>
  </si>
  <si>
    <t>Stiprinti bendruomeninę ir kitų NVO organizacijų veiklą savivaldybėje</t>
  </si>
  <si>
    <t>Savivaldybėje veikiančių tradicinių religinių bendruomenių ir bendrijų rėmimo konkurso organizavimas ir atrinktų projektų finansavimas</t>
  </si>
  <si>
    <t>2.5-1-1; 2.5-1-2</t>
  </si>
  <si>
    <t>Socialinių projektų ir iniciatyvų rėmimas</t>
  </si>
  <si>
    <t>Daugiabučių namų savininkų bendrijų, sodininkų bendrijų rėmimas</t>
  </si>
  <si>
    <t>Turto skyrius</t>
  </si>
  <si>
    <t>Viešosios naudos nevyriausybinių organizacijų, kaimo bendruomenių patirtų išlaidų dalinis finansavimas</t>
  </si>
  <si>
    <t>Bendruomeninės veiklos savivaldybėje stiprinimas, įgyvendinant bandomąjį modelį</t>
  </si>
  <si>
    <t>2.5-1-1; 2.5-1-4; 2.5-1-5</t>
  </si>
  <si>
    <t>Nevyriausybinio sektoriaus veiklų skatinimas</t>
  </si>
  <si>
    <r>
      <t>Eil. Nr.</t>
    </r>
    <r>
      <rPr>
        <sz val="10"/>
        <color rgb="FF000000"/>
        <rFont val="Times New Roman"/>
        <family val="1"/>
      </rPr>
      <t> </t>
    </r>
  </si>
  <si>
    <r>
      <t>Programos kodas ir pavadinimas</t>
    </r>
    <r>
      <rPr>
        <sz val="10"/>
        <color rgb="FF000000"/>
        <rFont val="Times New Roman"/>
        <family val="1"/>
      </rPr>
      <t> </t>
    </r>
  </si>
  <si>
    <r>
      <t>2024 metų asignavimai ir kitos lėšos</t>
    </r>
    <r>
      <rPr>
        <sz val="10"/>
        <color rgb="FF000000"/>
        <rFont val="Times New Roman"/>
        <family val="1"/>
      </rPr>
      <t> </t>
    </r>
  </si>
  <si>
    <r>
      <t>2025 metų asignavimai ir kitos lėšos</t>
    </r>
    <r>
      <rPr>
        <sz val="10"/>
        <color rgb="FF000000"/>
        <rFont val="Times New Roman"/>
        <family val="1"/>
      </rPr>
      <t> </t>
    </r>
  </si>
  <si>
    <r>
      <t>2026 metų asignavimai ir kitos lėšos</t>
    </r>
    <r>
      <rPr>
        <sz val="10"/>
        <color rgb="FF000000"/>
        <rFont val="Times New Roman"/>
        <family val="1"/>
      </rPr>
      <t> </t>
    </r>
  </si>
  <si>
    <t>1 </t>
  </si>
  <si>
    <t>2 </t>
  </si>
  <si>
    <t>3 </t>
  </si>
  <si>
    <t>4 </t>
  </si>
  <si>
    <t>5 </t>
  </si>
  <si>
    <r>
      <t>1.</t>
    </r>
    <r>
      <rPr>
        <sz val="10"/>
        <color rgb="FF000000"/>
        <rFont val="Times New Roman"/>
        <family val="1"/>
      </rPr>
      <t> </t>
    </r>
  </si>
  <si>
    <r>
      <t>01 programa – Savivaldybės valdymo programa</t>
    </r>
    <r>
      <rPr>
        <sz val="10"/>
        <color rgb="FF000000"/>
        <rFont val="Times New Roman"/>
        <family val="1"/>
      </rPr>
      <t> </t>
    </r>
  </si>
  <si>
    <r>
      <t>2.</t>
    </r>
    <r>
      <rPr>
        <sz val="10"/>
        <color rgb="FF000000"/>
        <rFont val="Times New Roman"/>
        <family val="1"/>
      </rPr>
      <t> </t>
    </r>
  </si>
  <si>
    <r>
      <t xml:space="preserve">02 programa – Švietimo, kultūros ir sporto programa </t>
    </r>
    <r>
      <rPr>
        <sz val="10"/>
        <color rgb="FF000000"/>
        <rFont val="Times New Roman"/>
        <family val="1"/>
      </rPr>
      <t> </t>
    </r>
  </si>
  <si>
    <r>
      <t>3.</t>
    </r>
    <r>
      <rPr>
        <sz val="10"/>
        <color rgb="FF000000"/>
        <rFont val="Times New Roman"/>
        <family val="1"/>
      </rPr>
      <t> </t>
    </r>
  </si>
  <si>
    <r>
      <t>03 programa – Sveikatos ir socialinės apsaugos programa</t>
    </r>
    <r>
      <rPr>
        <sz val="10"/>
        <color rgb="FF000000"/>
        <rFont val="Times New Roman"/>
        <family val="1"/>
      </rPr>
      <t> </t>
    </r>
  </si>
  <si>
    <r>
      <t>4.</t>
    </r>
    <r>
      <rPr>
        <sz val="10"/>
        <color rgb="FF000000"/>
        <rFont val="Times New Roman"/>
        <family val="1"/>
      </rPr>
      <t> </t>
    </r>
  </si>
  <si>
    <r>
      <t xml:space="preserve">04 programa – Žemės ūkio ir aplinkos apsaugos programa </t>
    </r>
    <r>
      <rPr>
        <sz val="10"/>
        <color rgb="FF000000"/>
        <rFont val="Times New Roman"/>
        <family val="1"/>
      </rPr>
      <t> </t>
    </r>
  </si>
  <si>
    <r>
      <t>5.</t>
    </r>
    <r>
      <rPr>
        <sz val="10"/>
        <color rgb="FF000000"/>
        <rFont val="Times New Roman"/>
        <family val="1"/>
      </rPr>
      <t> </t>
    </r>
  </si>
  <si>
    <r>
      <t>05 programa – Investicijų, ūkio ir teritorijų planavimo programa</t>
    </r>
    <r>
      <rPr>
        <sz val="10"/>
        <color rgb="FF000000"/>
        <rFont val="Times New Roman"/>
        <family val="1"/>
      </rPr>
      <t> </t>
    </r>
  </si>
  <si>
    <t>1. Savivaldybės biudžetas (įskaitant skolintas lėšas) </t>
  </si>
  <si>
    <t>Iš jo: </t>
  </si>
  <si>
    <t>1.1. savivaldybės biudžeto lėšos (nuosavos, be ankstesnių metų likučio) </t>
  </si>
  <si>
    <t>1.2. Lietuvos Respublikos valstybės biudžeto dotacijos </t>
  </si>
  <si>
    <t>1.3. Pajamų įmokos ir kitos pajamos </t>
  </si>
  <si>
    <t>1.4. Europos Sąjungos ir kitos tarptautinės finansinės paramos lėšos </t>
  </si>
  <si>
    <t>1.5. Skolintos lėšos </t>
  </si>
  <si>
    <t>1.6. Ankstesnių metų likučiai </t>
  </si>
  <si>
    <t>1.7. Tikslinės paskirties pajamos </t>
  </si>
  <si>
    <t>2. Kiti šaltiniai (Europos Sąjungos finansinė parama projektams įgyvendinti ir kitos teisėtai gautos lėšos, nurodant atskirus šaltinius) </t>
  </si>
  <si>
    <r>
      <t xml:space="preserve">IŠ VISO programai finansuoti pagal finansavimo šaltinius </t>
    </r>
    <r>
      <rPr>
        <i/>
        <sz val="9"/>
        <rFont val="Times New Roman"/>
        <family val="1"/>
      </rPr>
      <t>(1 ir 2 punktai)</t>
    </r>
    <r>
      <rPr>
        <sz val="9"/>
        <rFont val="Times New Roman"/>
        <family val="1"/>
      </rPr>
      <t> </t>
    </r>
  </si>
  <si>
    <t>60 816,0 </t>
  </si>
  <si>
    <t>63 490,3 </t>
  </si>
  <si>
    <t>62 430,4 </t>
  </si>
  <si>
    <t>Iš jų: regioninių pažangos priemonių lėšos </t>
  </si>
  <si>
    <t>Asignavimų ir kitų lėšų pokytis, palyginti su ankstesnių metų patvirtintų asignavimų ir kitų lėšų planu </t>
  </si>
  <si>
    <t> </t>
  </si>
  <si>
    <r>
      <t>IŠ VISO:</t>
    </r>
    <r>
      <rPr>
        <sz val="9"/>
        <rFont val="Times New Roman"/>
        <family val="1"/>
      </rPr>
      <t> </t>
    </r>
  </si>
  <si>
    <t>Projekto „Žaliosios infrastruktūros urbanizuotoje Kaišiadorių miesto dalyje plėtojimas“ vykdymas</t>
  </si>
  <si>
    <t>Sveikatos reikalų koordinatorius</t>
  </si>
  <si>
    <t xml:space="preserve">Architektūros kokybės vertinimo metodikos taikymo gairių projekto
parengimas
</t>
  </si>
  <si>
    <t>Projekto "Kaišiadorių rajono savivaldybės turizmo objektų pritaikymas lankymui" vykdymas</t>
  </si>
  <si>
    <t>RPP</t>
  </si>
  <si>
    <t>Projekto „Krūties vėžio prevencinės programos prieinamumo didinimas Jonavos, Kauno ir Kaišiadorių rajonų savivaldybėse“ vykdymas</t>
  </si>
  <si>
    <t>Projekto „Kauno regiono turizmo maršruto pristatymas ir populiarinimas bei Kauno rajono turizmo ir verslo informacijos centro infrastruktūros plėtra“ vykdymas</t>
  </si>
  <si>
    <t>Seniūnija</t>
  </si>
  <si>
    <t>PATVIRTINTA                                                 Kaišiadorių rajono savivaldybės tarybos                  2025 m. vasario 20 d. sprendimu Nr. V17E-26</t>
  </si>
  <si>
    <t xml:space="preserve">Kaišiadorių r. savivaldybės 2025-2027 m. strateginio veiklos plano                                                                  1 priedas </t>
  </si>
  <si>
    <t xml:space="preserve">Kaišiadorių r. savivaldybės 2025-2027 m.       strateginio veiklos plano                                                1 priedas </t>
  </si>
  <si>
    <t>PATVIRTINTA                                                 Kaišiadorių rajono savivaldybės tarybos                                                 2025 m. vasario 20 d. sprendimu Nr. V17E-26</t>
  </si>
  <si>
    <t>Projekto "Priedangų infrastruktūros plėtra Kaišiadorių rajone" vykdymas</t>
  </si>
  <si>
    <t>15</t>
  </si>
  <si>
    <t>Projekto „Visos dienos mokyklos paslaugų prieinamumo didinimas Kaišiadorių ir Kėdainių rajono savivaldybėse“ vykdymas</t>
  </si>
  <si>
    <t>Kaišiadorių r. Žiežmarių "Vaikystės dvaras" direktorius</t>
  </si>
  <si>
    <t>PATVIRTINTA                                                 Kaišiadorių rajono savivaldybės tarybos                      2025 m. vasario 20 d. sprendimu Nr. V17E-26</t>
  </si>
  <si>
    <t>(Kaišiadorių rajono savivaldybės tarybos                     2025 m. rugpjūčio 28 d. sprendimu Nr. V17E-197 redakcija)</t>
  </si>
  <si>
    <t>(Kaišiadorių rajono savivaldybės tarybos                         2025 m. rugpjūčio 28 d. sprendimu Nr. V17E-197 redakcija)</t>
  </si>
  <si>
    <t>(Kaišiadorių rajono savivaldybės tarybos                2025 m. birželio 26 d. sprendimu Nr. V17E-169 redakcija)</t>
  </si>
  <si>
    <t>(Kaišiadorių rajono savivaldybės tarybos                    2025 m. birželio 26 d. sprendimu Nr. V17E-169 redakcija)</t>
  </si>
  <si>
    <t>Mokinių dalyvaujamasis biudžetas</t>
  </si>
  <si>
    <t>Kaišiadorių r. Kruonio pagrindinė mokyklos direktorius</t>
  </si>
  <si>
    <t>(Kaišiadorių rajono savivaldybės tarybos                    2025 m. gruodžio     d. sprendimu Nr. V17E-       redakcija)</t>
  </si>
  <si>
    <t>(Kaišiadorių rajono savivaldybės tarybos                        2025 m. gruodžio     d. sprendimu Nr. V17E-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</si>
</sst>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0.0"/>
    <numFmt numFmtId="166" formatCode="0.000"/>
  </numFmts>
  <fonts count="41" x14ac:knownFonts="1">
    <font>
      <sz val="11"/>
      <color theme="1"/>
      <name val="Calibri"/>
      <family val="2"/>
      <scheme val="minor"/>
    </font>
    <font>
      <sz val="11"/>
      <color theme="1"/>
      <name val="Calibri"/>
      <family val="2"/>
      <charset val="186"/>
      <scheme val="minor"/>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9"/>
      <name val="Times New Roman"/>
      <family val="1"/>
      <charset val="186"/>
    </font>
    <font>
      <sz val="10"/>
      <name val="Arial"/>
      <family val="2"/>
      <charset val="186"/>
    </font>
    <font>
      <sz val="9"/>
      <color rgb="FF000000"/>
      <name val="Times New Roman"/>
      <family val="1"/>
      <charset val="186"/>
    </font>
    <font>
      <sz val="9"/>
      <color rgb="FF000000"/>
      <name val="Times New Roman"/>
      <family val="1"/>
    </font>
    <font>
      <b/>
      <sz val="9"/>
      <color rgb="FF000000"/>
      <name val="Times New Roman"/>
      <family val="1"/>
      <charset val="204"/>
    </font>
    <font>
      <sz val="9"/>
      <color rgb="FF000000"/>
      <name val="Times New Roman"/>
      <family val="1"/>
      <charset val="1"/>
    </font>
    <font>
      <b/>
      <sz val="9"/>
      <color rgb="FF000000"/>
      <name val="Times New Roman"/>
      <family val="1"/>
      <charset val="1"/>
    </font>
    <font>
      <b/>
      <sz val="9"/>
      <color rgb="FF000000"/>
      <name val="Times New Roman"/>
      <family val="1"/>
      <charset val="186"/>
    </font>
    <font>
      <sz val="8"/>
      <color rgb="FF000000"/>
      <name val="Times New Roman"/>
      <family val="1"/>
      <charset val="186"/>
    </font>
    <font>
      <sz val="9"/>
      <color rgb="FF000000"/>
      <name val="Times New Roman"/>
      <family val="1"/>
      <charset val="204"/>
    </font>
    <font>
      <sz val="10"/>
      <color rgb="FF000000"/>
      <name val="Times New Roman"/>
      <family val="1"/>
    </font>
    <font>
      <b/>
      <sz val="10"/>
      <color rgb="FF000000"/>
      <name val="Times New Roman"/>
      <family val="1"/>
    </font>
    <font>
      <b/>
      <sz val="10"/>
      <name val="Times New Roman"/>
      <family val="1"/>
    </font>
    <font>
      <sz val="9"/>
      <name val="Times New Roman"/>
      <family val="1"/>
    </font>
    <font>
      <i/>
      <sz val="9"/>
      <name val="Times New Roman"/>
      <family val="1"/>
    </font>
    <font>
      <b/>
      <sz val="9"/>
      <name val="Times New Roman"/>
      <family val="1"/>
    </font>
    <font>
      <sz val="9"/>
      <color rgb="FF000000"/>
      <name val="Calibri"/>
      <family val="2"/>
      <scheme val="minor"/>
    </font>
    <font>
      <sz val="9"/>
      <color rgb="FF000000"/>
      <name val="Aptos Narrow"/>
      <charset val="1"/>
    </font>
    <font>
      <strike/>
      <sz val="9"/>
      <color rgb="FF000000"/>
      <name val="Times New Roman"/>
      <family val="1"/>
      <charset val="186"/>
    </font>
    <font>
      <i/>
      <sz val="8"/>
      <color rgb="FF000000"/>
      <name val="Times New Roman"/>
      <family val="1"/>
      <charset val="186"/>
    </font>
    <font>
      <sz val="9"/>
      <color rgb="FF000000"/>
      <name val="Arial"/>
      <family val="2"/>
      <charset val="186"/>
    </font>
    <font>
      <b/>
      <sz val="9"/>
      <color rgb="FF000000"/>
      <name val="Times New Roman"/>
      <family val="1"/>
    </font>
    <font>
      <b/>
      <u/>
      <sz val="9"/>
      <color rgb="FF000000"/>
      <name val="Times New Roman"/>
      <family val="1"/>
    </font>
    <font>
      <sz val="11"/>
      <color rgb="FF000000"/>
      <name val="Calibri"/>
      <family val="2"/>
      <scheme val="minor"/>
    </font>
    <font>
      <sz val="8"/>
      <color rgb="FF000000"/>
      <name val="Calibri"/>
      <family val="2"/>
      <scheme val="minor"/>
    </font>
    <font>
      <b/>
      <sz val="9"/>
      <name val="Times New Roman"/>
      <family val="1"/>
      <charset val="186"/>
    </font>
    <font>
      <b/>
      <sz val="9"/>
      <name val="Times New Roman"/>
      <family val="1"/>
      <charset val="1"/>
    </font>
    <font>
      <sz val="9"/>
      <color rgb="FFFF0000"/>
      <name val="Times New Roman"/>
      <family val="1"/>
      <charset val="1"/>
    </font>
    <font>
      <sz val="9"/>
      <color rgb="FF000000"/>
      <name val="Times New Roman"/>
      <family val="1"/>
    </font>
    <font>
      <sz val="8"/>
      <name val="Calibri"/>
      <family val="2"/>
      <scheme val="minor"/>
    </font>
  </fonts>
  <fills count="4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25"/>
      </patternFill>
    </fill>
    <fill>
      <patternFill patternType="solid">
        <fgColor indexed="57"/>
        <bgColor indexed="21"/>
      </patternFill>
    </fill>
    <fill>
      <patternFill patternType="solid">
        <fgColor indexed="53"/>
        <bgColor indexed="25"/>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26"/>
      </patternFill>
    </fill>
    <fill>
      <patternFill patternType="solid">
        <fgColor theme="0"/>
        <bgColor indexed="64"/>
      </patternFill>
    </fill>
    <fill>
      <patternFill patternType="solid">
        <fgColor theme="0"/>
        <bgColor indexed="31"/>
      </patternFill>
    </fill>
    <fill>
      <patternFill patternType="solid">
        <fgColor theme="0" tint="-0.14999847407452621"/>
        <bgColor indexed="31"/>
      </patternFill>
    </fill>
    <fill>
      <patternFill patternType="solid">
        <fgColor theme="0" tint="-0.14999847407452621"/>
        <bgColor indexed="64"/>
      </patternFill>
    </fill>
    <fill>
      <patternFill patternType="solid">
        <fgColor rgb="FFCCFFCC"/>
        <bgColor indexed="27"/>
      </patternFill>
    </fill>
    <fill>
      <patternFill patternType="solid">
        <fgColor rgb="FF99CCFF"/>
        <bgColor indexed="31"/>
      </patternFill>
    </fill>
    <fill>
      <patternFill patternType="solid">
        <fgColor rgb="FFFFFF00"/>
        <bgColor indexed="34"/>
      </patternFill>
    </fill>
    <fill>
      <patternFill patternType="solid">
        <fgColor rgb="FFFFFF00"/>
        <bgColor indexed="64"/>
      </patternFill>
    </fill>
    <fill>
      <patternFill patternType="solid">
        <fgColor rgb="FFCCFFCC"/>
        <bgColor indexed="31"/>
      </patternFill>
    </fill>
    <fill>
      <patternFill patternType="solid">
        <fgColor rgb="FFFFFF00"/>
        <bgColor indexed="31"/>
      </patternFill>
    </fill>
    <fill>
      <patternFill patternType="solid">
        <fgColor rgb="FFFFFFFF"/>
        <bgColor indexed="64"/>
      </patternFill>
    </fill>
    <fill>
      <patternFill patternType="solid">
        <fgColor rgb="FFFFFFFF"/>
        <bgColor indexed="31"/>
      </patternFill>
    </fill>
    <fill>
      <patternFill patternType="solid">
        <fgColor rgb="FF99CCFF"/>
        <bgColor indexed="64"/>
      </patternFill>
    </fill>
    <fill>
      <patternFill patternType="solid">
        <fgColor rgb="FFFFFFCC"/>
        <bgColor indexed="64"/>
      </patternFill>
    </fill>
    <fill>
      <patternFill patternType="solid">
        <fgColor indexed="9"/>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B9E0B4"/>
        <bgColor indexed="64"/>
      </patternFill>
    </fill>
    <fill>
      <patternFill patternType="solid">
        <fgColor rgb="FFDEEAF6"/>
        <bgColor indexed="64"/>
      </patternFill>
    </fill>
  </fills>
  <borders count="4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8"/>
      </bottom>
      <diagonal/>
    </border>
    <border>
      <left/>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style="medium">
        <color indexed="8"/>
      </left>
      <right style="medium">
        <color indexed="8"/>
      </right>
      <top/>
      <bottom/>
      <diagonal/>
    </border>
    <border>
      <left style="medium">
        <color indexed="8"/>
      </left>
      <right/>
      <top/>
      <bottom style="medium">
        <color indexed="8"/>
      </bottom>
      <diagonal/>
    </border>
    <border>
      <left style="medium">
        <color indexed="8"/>
      </left>
      <right style="medium">
        <color indexed="8"/>
      </right>
      <top/>
      <bottom style="medium">
        <color indexed="8"/>
      </bottom>
      <diagonal/>
    </border>
    <border>
      <left/>
      <right style="medium">
        <color indexed="8"/>
      </right>
      <top style="medium">
        <color indexed="8"/>
      </top>
      <bottom/>
      <diagonal/>
    </border>
    <border>
      <left/>
      <right style="medium">
        <color indexed="8"/>
      </right>
      <top/>
      <bottom/>
      <diagonal/>
    </border>
    <border>
      <left/>
      <right style="medium">
        <color indexed="8"/>
      </right>
      <top/>
      <bottom style="medium">
        <color indexed="8"/>
      </bottom>
      <diagonal/>
    </border>
    <border>
      <left/>
      <right/>
      <top style="medium">
        <color indexed="8"/>
      </top>
      <bottom/>
      <diagonal/>
    </border>
    <border>
      <left style="medium">
        <color indexed="8"/>
      </left>
      <right style="thin">
        <color indexed="8"/>
      </right>
      <top/>
      <bottom style="thin">
        <color indexed="8"/>
      </bottom>
      <diagonal/>
    </border>
    <border>
      <left style="medium">
        <color indexed="8"/>
      </left>
      <right style="thin">
        <color indexed="8"/>
      </right>
      <top/>
      <bottom/>
      <diagonal/>
    </border>
    <border>
      <left/>
      <right style="medium">
        <color indexed="8"/>
      </right>
      <top style="medium">
        <color indexed="8"/>
      </top>
      <bottom style="thin">
        <color indexed="8"/>
      </bottom>
      <diagonal/>
    </border>
    <border>
      <left style="thin">
        <color indexed="8"/>
      </left>
      <right style="thin">
        <color indexed="8"/>
      </right>
      <top style="medium">
        <color indexed="8"/>
      </top>
      <bottom/>
      <diagonal/>
    </border>
    <border>
      <left style="thin">
        <color indexed="8"/>
      </left>
      <right style="thin">
        <color indexed="8"/>
      </right>
      <top/>
      <bottom/>
      <diagonal/>
    </border>
    <border>
      <left/>
      <right style="medium">
        <color indexed="8"/>
      </right>
      <top/>
      <bottom style="thin">
        <color indexed="8"/>
      </bottom>
      <diagonal/>
    </border>
    <border>
      <left style="thin">
        <color indexed="8"/>
      </left>
      <right style="medium">
        <color indexed="8"/>
      </right>
      <top/>
      <bottom/>
      <diagonal/>
    </border>
    <border>
      <left/>
      <right/>
      <top/>
      <bottom style="thin">
        <color indexed="8"/>
      </bottom>
      <diagonal/>
    </border>
    <border>
      <left style="medium">
        <color indexed="8"/>
      </left>
      <right/>
      <top style="medium">
        <color indexed="8"/>
      </top>
      <bottom style="medium">
        <color indexed="8"/>
      </bottom>
      <diagonal/>
    </border>
    <border>
      <left style="thin">
        <color indexed="8"/>
      </left>
      <right style="medium">
        <color indexed="8"/>
      </right>
      <top style="medium">
        <color indexed="8"/>
      </top>
      <bottom/>
      <diagonal/>
    </border>
    <border>
      <left style="thin">
        <color indexed="8"/>
      </left>
      <right/>
      <top/>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medium">
        <color indexed="64"/>
      </left>
      <right/>
      <top style="medium">
        <color indexed="64"/>
      </top>
      <bottom style="thin">
        <color indexed="8"/>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8"/>
      </left>
      <right style="thin">
        <color indexed="8"/>
      </right>
      <top/>
      <bottom style="medium">
        <color indexed="64"/>
      </bottom>
      <diagonal/>
    </border>
    <border>
      <left style="medium">
        <color indexed="8"/>
      </left>
      <right style="medium">
        <color indexed="64"/>
      </right>
      <top/>
      <bottom/>
      <diagonal/>
    </border>
    <border>
      <left style="medium">
        <color indexed="64"/>
      </left>
      <right/>
      <top/>
      <bottom style="thin">
        <color indexed="8"/>
      </bottom>
      <diagonal/>
    </border>
    <border>
      <left style="medium">
        <color indexed="64"/>
      </left>
      <right style="thin">
        <color indexed="8"/>
      </right>
      <top/>
      <bottom style="medium">
        <color indexed="64"/>
      </bottom>
      <diagonal/>
    </border>
    <border>
      <left style="medium">
        <color indexed="64"/>
      </left>
      <right style="thin">
        <color indexed="8"/>
      </right>
      <top style="medium">
        <color indexed="64"/>
      </top>
      <bottom style="medium">
        <color indexed="64"/>
      </bottom>
      <diagonal/>
    </border>
    <border>
      <left style="medium">
        <color indexed="8"/>
      </left>
      <right style="medium">
        <color indexed="8"/>
      </right>
      <top style="medium">
        <color indexed="64"/>
      </top>
      <bottom/>
      <diagonal/>
    </border>
    <border>
      <left style="medium">
        <color indexed="64"/>
      </left>
      <right style="thin">
        <color indexed="8"/>
      </right>
      <top style="medium">
        <color indexed="8"/>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8"/>
      </bottom>
      <diagonal/>
    </border>
    <border>
      <left style="medium">
        <color indexed="64"/>
      </left>
      <right style="thin">
        <color indexed="8"/>
      </right>
      <top/>
      <bottom/>
      <diagonal/>
    </border>
    <border>
      <left style="thin">
        <color indexed="8"/>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8"/>
      </right>
      <top style="medium">
        <color indexed="8"/>
      </top>
      <bottom/>
      <diagonal/>
    </border>
    <border>
      <left style="medium">
        <color indexed="64"/>
      </left>
      <right style="medium">
        <color indexed="8"/>
      </right>
      <top/>
      <bottom style="medium">
        <color indexed="8"/>
      </bottom>
      <diagonal/>
    </border>
    <border>
      <left style="medium">
        <color indexed="8"/>
      </left>
      <right/>
      <top style="medium">
        <color indexed="64"/>
      </top>
      <bottom style="thin">
        <color indexed="8"/>
      </bottom>
      <diagonal/>
    </border>
    <border>
      <left/>
      <right style="medium">
        <color indexed="64"/>
      </right>
      <top/>
      <bottom/>
      <diagonal/>
    </border>
    <border>
      <left style="medium">
        <color indexed="8"/>
      </left>
      <right style="thin">
        <color indexed="8"/>
      </right>
      <top/>
      <bottom style="medium">
        <color indexed="64"/>
      </bottom>
      <diagonal/>
    </border>
    <border>
      <left style="thin">
        <color indexed="8"/>
      </left>
      <right style="medium">
        <color indexed="8"/>
      </right>
      <top/>
      <bottom style="medium">
        <color indexed="64"/>
      </bottom>
      <diagonal/>
    </border>
    <border>
      <left style="medium">
        <color indexed="64"/>
      </left>
      <right style="medium">
        <color indexed="64"/>
      </right>
      <top style="medium">
        <color indexed="8"/>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8"/>
      </left>
      <right style="medium">
        <color indexed="8"/>
      </right>
      <top/>
      <bottom style="medium">
        <color indexed="64"/>
      </bottom>
      <diagonal/>
    </border>
    <border>
      <left style="medium">
        <color indexed="8"/>
      </left>
      <right style="medium">
        <color indexed="64"/>
      </right>
      <top/>
      <bottom style="medium">
        <color indexed="64"/>
      </bottom>
      <diagonal/>
    </border>
    <border>
      <left/>
      <right/>
      <top style="medium">
        <color indexed="64"/>
      </top>
      <bottom style="thin">
        <color indexed="8"/>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8"/>
      </right>
      <top style="medium">
        <color indexed="64"/>
      </top>
      <bottom/>
      <diagonal/>
    </border>
    <border>
      <left style="medium">
        <color indexed="64"/>
      </left>
      <right style="medium">
        <color indexed="8"/>
      </right>
      <top/>
      <bottom/>
      <diagonal/>
    </border>
    <border>
      <left style="medium">
        <color indexed="64"/>
      </left>
      <right style="medium">
        <color indexed="8"/>
      </right>
      <top/>
      <bottom style="medium">
        <color indexed="64"/>
      </bottom>
      <diagonal/>
    </border>
    <border>
      <left style="medium">
        <color indexed="8"/>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8"/>
      </right>
      <top style="medium">
        <color indexed="8"/>
      </top>
      <bottom style="medium">
        <color indexed="64"/>
      </bottom>
      <diagonal/>
    </border>
    <border>
      <left/>
      <right/>
      <top style="medium">
        <color indexed="8"/>
      </top>
      <bottom style="medium">
        <color indexed="64"/>
      </bottom>
      <diagonal/>
    </border>
    <border>
      <left style="medium">
        <color indexed="64"/>
      </left>
      <right style="medium">
        <color indexed="8"/>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top style="medium">
        <color indexed="64"/>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8"/>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8"/>
      </bottom>
      <diagonal/>
    </border>
    <border>
      <left/>
      <right/>
      <top/>
      <bottom style="thin">
        <color indexed="64"/>
      </bottom>
      <diagonal/>
    </border>
    <border>
      <left style="medium">
        <color indexed="8"/>
      </left>
      <right style="medium">
        <color indexed="64"/>
      </right>
      <top style="medium">
        <color indexed="64"/>
      </top>
      <bottom/>
      <diagonal/>
    </border>
    <border>
      <left style="medium">
        <color indexed="64"/>
      </left>
      <right style="thin">
        <color indexed="8"/>
      </right>
      <top style="medium">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8"/>
      </left>
      <right/>
      <top/>
      <bottom style="medium">
        <color indexed="64"/>
      </bottom>
      <diagonal/>
    </border>
    <border>
      <left style="medium">
        <color indexed="8"/>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8"/>
      </top>
      <bottom style="thin">
        <color indexed="8"/>
      </bottom>
      <diagonal/>
    </border>
    <border>
      <left style="medium">
        <color indexed="64"/>
      </left>
      <right/>
      <top style="medium">
        <color indexed="8"/>
      </top>
      <bottom style="medium">
        <color indexed="64"/>
      </bottom>
      <diagonal/>
    </border>
    <border>
      <left style="medium">
        <color indexed="64"/>
      </left>
      <right/>
      <top style="medium">
        <color indexed="8"/>
      </top>
      <bottom style="medium">
        <color indexed="8"/>
      </bottom>
      <diagonal/>
    </border>
    <border>
      <left style="medium">
        <color indexed="8"/>
      </left>
      <right/>
      <top style="medium">
        <color indexed="64"/>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thin">
        <color indexed="8"/>
      </right>
      <top style="medium">
        <color indexed="64"/>
      </top>
      <bottom/>
      <diagonal/>
    </border>
    <border>
      <left style="medium">
        <color indexed="64"/>
      </left>
      <right style="medium">
        <color indexed="64"/>
      </right>
      <top style="medium">
        <color indexed="8"/>
      </top>
      <bottom style="medium">
        <color indexed="64"/>
      </bottom>
      <diagonal/>
    </border>
    <border>
      <left style="medium">
        <color indexed="64"/>
      </left>
      <right style="thin">
        <color indexed="64"/>
      </right>
      <top/>
      <bottom style="medium">
        <color indexed="64"/>
      </bottom>
      <diagonal/>
    </border>
    <border>
      <left/>
      <right style="medium">
        <color indexed="64"/>
      </right>
      <top/>
      <bottom style="thin">
        <color indexed="8"/>
      </bottom>
      <diagonal/>
    </border>
    <border>
      <left/>
      <right style="medium">
        <color indexed="64"/>
      </right>
      <top/>
      <bottom style="thin">
        <color indexed="64"/>
      </bottom>
      <diagonal/>
    </border>
    <border>
      <left style="thin">
        <color indexed="8"/>
      </left>
      <right style="thin">
        <color indexed="8"/>
      </right>
      <top style="medium">
        <color indexed="64"/>
      </top>
      <bottom/>
      <diagonal/>
    </border>
    <border>
      <left/>
      <right style="medium">
        <color indexed="64"/>
      </right>
      <top/>
      <bottom style="medium">
        <color indexed="8"/>
      </bottom>
      <diagonal/>
    </border>
    <border>
      <left style="medium">
        <color indexed="64"/>
      </left>
      <right/>
      <top/>
      <bottom style="medium">
        <color indexed="8"/>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8"/>
      </left>
      <right/>
      <top style="medium">
        <color indexed="64"/>
      </top>
      <bottom style="medium">
        <color indexed="64"/>
      </bottom>
      <diagonal/>
    </border>
    <border>
      <left style="medium">
        <color indexed="8"/>
      </left>
      <right style="thin">
        <color indexed="8"/>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8"/>
      </left>
      <right style="medium">
        <color indexed="8"/>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bottom style="thin">
        <color indexed="8"/>
      </bottom>
      <diagonal/>
    </border>
    <border>
      <left/>
      <right style="medium">
        <color indexed="64"/>
      </right>
      <top style="medium">
        <color indexed="8"/>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8"/>
      </left>
      <right/>
      <top style="medium">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bottom style="medium">
        <color rgb="FF000000"/>
      </bottom>
      <diagonal/>
    </border>
    <border>
      <left/>
      <right/>
      <top style="medium">
        <color rgb="FF000000"/>
      </top>
      <bottom/>
      <diagonal/>
    </border>
    <border>
      <left style="medium">
        <color indexed="64"/>
      </left>
      <right style="medium">
        <color indexed="64"/>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8"/>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style="medium">
        <color rgb="FF000000"/>
      </right>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indexed="8"/>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indexed="8"/>
      </left>
      <right/>
      <top/>
      <bottom style="medium">
        <color indexed="64"/>
      </bottom>
      <diagonal/>
    </border>
    <border>
      <left style="medium">
        <color indexed="64"/>
      </left>
      <right style="medium">
        <color indexed="64"/>
      </right>
      <top style="medium">
        <color rgb="FF000000"/>
      </top>
      <bottom style="medium">
        <color rgb="FF000000"/>
      </bottom>
      <diagonal/>
    </border>
    <border>
      <left style="medium">
        <color rgb="FF000000"/>
      </left>
      <right/>
      <top style="medium">
        <color rgb="FF000000"/>
      </top>
      <bottom style="medium">
        <color indexed="8"/>
      </bottom>
      <diagonal/>
    </border>
    <border>
      <left style="medium">
        <color rgb="FF000000"/>
      </left>
      <right/>
      <top style="medium">
        <color indexed="8"/>
      </top>
      <bottom style="medium">
        <color indexed="8"/>
      </bottom>
      <diagonal/>
    </border>
    <border>
      <left style="medium">
        <color rgb="FF000000"/>
      </left>
      <right/>
      <top style="medium">
        <color indexed="8"/>
      </top>
      <bottom/>
      <diagonal/>
    </border>
    <border>
      <left style="medium">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medium">
        <color rgb="FF000000"/>
      </bottom>
      <diagonal/>
    </border>
    <border>
      <left style="thin">
        <color rgb="FF000000"/>
      </left>
      <right/>
      <top/>
      <bottom style="thin">
        <color rgb="FF000000"/>
      </bottom>
      <diagonal/>
    </border>
    <border>
      <left/>
      <right/>
      <top style="thin">
        <color rgb="FF000000"/>
      </top>
      <bottom/>
      <diagonal/>
    </border>
    <border>
      <left/>
      <right/>
      <top/>
      <bottom style="medium">
        <color rgb="FF000000"/>
      </bottom>
      <diagonal/>
    </border>
    <border>
      <left style="medium">
        <color indexed="8"/>
      </left>
      <right style="medium">
        <color indexed="8"/>
      </right>
      <top style="thin">
        <color rgb="FF000000"/>
      </top>
      <bottom style="medium">
        <color indexed="8"/>
      </bottom>
      <diagonal/>
    </border>
    <border>
      <left style="medium">
        <color indexed="8"/>
      </left>
      <right/>
      <top style="thin">
        <color rgb="FF000000"/>
      </top>
      <bottom style="medium">
        <color indexed="8"/>
      </bottom>
      <diagonal/>
    </border>
    <border>
      <left style="medium">
        <color indexed="64"/>
      </left>
      <right style="medium">
        <color indexed="64"/>
      </right>
      <top style="thin">
        <color rgb="FF000000"/>
      </top>
      <bottom/>
      <diagonal/>
    </border>
    <border>
      <left/>
      <right style="medium">
        <color indexed="8"/>
      </right>
      <top style="thin">
        <color rgb="FF000000"/>
      </top>
      <bottom style="thin">
        <color indexed="8"/>
      </bottom>
      <diagonal/>
    </border>
    <border>
      <left style="medium">
        <color indexed="64"/>
      </left>
      <right style="thin">
        <color indexed="8"/>
      </right>
      <top style="thin">
        <color rgb="FF000000"/>
      </top>
      <bottom style="thin">
        <color indexed="8"/>
      </bottom>
      <diagonal/>
    </border>
    <border>
      <left/>
      <right style="medium">
        <color rgb="FF000000"/>
      </right>
      <top style="medium">
        <color rgb="FF000000"/>
      </top>
      <bottom/>
      <diagonal/>
    </border>
    <border>
      <left/>
      <right style="medium">
        <color rgb="FF000000"/>
      </right>
      <top/>
      <bottom style="medium">
        <color rgb="FF000000"/>
      </bottom>
      <diagonal/>
    </border>
    <border>
      <left/>
      <right/>
      <top style="thin">
        <color rgb="FF000000"/>
      </top>
      <bottom style="thin">
        <color rgb="FF000000"/>
      </bottom>
      <diagonal/>
    </border>
    <border>
      <left style="medium">
        <color rgb="FF000000"/>
      </left>
      <right style="medium">
        <color rgb="FF000000"/>
      </right>
      <top/>
      <bottom style="thin">
        <color indexed="8"/>
      </bottom>
      <diagonal/>
    </border>
    <border>
      <left/>
      <right style="medium">
        <color rgb="FF000000"/>
      </right>
      <top/>
      <bottom/>
      <diagonal/>
    </border>
    <border>
      <left/>
      <right/>
      <top style="medium">
        <color rgb="FF000000"/>
      </top>
      <bottom style="thin">
        <color rgb="FF000000"/>
      </bottom>
      <diagonal/>
    </border>
    <border>
      <left/>
      <right/>
      <top style="thin">
        <color rgb="FF000000"/>
      </top>
      <bottom style="medium">
        <color rgb="FF000000"/>
      </bottom>
      <diagonal/>
    </border>
    <border>
      <left style="thin">
        <color rgb="FF000000"/>
      </left>
      <right/>
      <top/>
      <bottom/>
      <diagonal/>
    </border>
    <border>
      <left style="medium">
        <color rgb="FF000000"/>
      </left>
      <right/>
      <top style="thin">
        <color indexed="64"/>
      </top>
      <bottom style="medium">
        <color rgb="FF000000"/>
      </bottom>
      <diagonal/>
    </border>
    <border>
      <left style="medium">
        <color indexed="64"/>
      </left>
      <right style="medium">
        <color indexed="64"/>
      </right>
      <top style="medium">
        <color rgb="FF000000"/>
      </top>
      <bottom/>
      <diagonal/>
    </border>
    <border>
      <left style="medium">
        <color rgb="FF000000"/>
      </left>
      <right style="medium">
        <color indexed="64"/>
      </right>
      <top style="medium">
        <color indexed="64"/>
      </top>
      <bottom style="medium">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right/>
      <top style="medium">
        <color rgb="FF000000"/>
      </top>
      <bottom style="medium">
        <color rgb="FF000000"/>
      </bottom>
      <diagonal/>
    </border>
    <border>
      <left style="medium">
        <color rgb="FF000000"/>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8"/>
      </right>
      <top style="medium">
        <color rgb="FF000000"/>
      </top>
      <bottom/>
      <diagonal/>
    </border>
    <border>
      <left/>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thin">
        <color indexed="64"/>
      </bottom>
      <diagonal/>
    </border>
    <border>
      <left style="medium">
        <color rgb="FF000000"/>
      </left>
      <right/>
      <top/>
      <bottom style="thin">
        <color rgb="FF000000"/>
      </bottom>
      <diagonal/>
    </border>
    <border>
      <left style="medium">
        <color indexed="64"/>
      </left>
      <right style="thin">
        <color indexed="8"/>
      </right>
      <top style="medium">
        <color rgb="FF000000"/>
      </top>
      <bottom/>
      <diagonal/>
    </border>
    <border>
      <left style="medium">
        <color indexed="64"/>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diagonal/>
    </border>
    <border>
      <left style="medium">
        <color rgb="FF000000"/>
      </left>
      <right style="medium">
        <color indexed="64"/>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medium">
        <color rgb="FF000000"/>
      </right>
      <top/>
      <bottom style="medium">
        <color indexed="64"/>
      </bottom>
      <diagonal/>
    </border>
    <border>
      <left style="medium">
        <color indexed="64"/>
      </left>
      <right style="thin">
        <color indexed="64"/>
      </right>
      <top style="medium">
        <color rgb="FF000000"/>
      </top>
      <bottom style="medium">
        <color rgb="FF000000"/>
      </bottom>
      <diagonal/>
    </border>
    <border>
      <left/>
      <right style="medium">
        <color indexed="64"/>
      </right>
      <top style="medium">
        <color rgb="FF000000"/>
      </top>
      <bottom/>
      <diagonal/>
    </border>
    <border>
      <left style="medium">
        <color indexed="64"/>
      </left>
      <right/>
      <top style="thin">
        <color rgb="FF000000"/>
      </top>
      <bottom/>
      <diagonal/>
    </border>
    <border>
      <left style="medium">
        <color rgb="FF000000"/>
      </left>
      <right style="medium">
        <color rgb="FF000000"/>
      </right>
      <top style="medium">
        <color rgb="FF000000"/>
      </top>
      <bottom style="medium">
        <color indexed="8"/>
      </bottom>
      <diagonal/>
    </border>
    <border>
      <left style="medium">
        <color rgb="FF000000"/>
      </left>
      <right style="medium">
        <color rgb="FF000000"/>
      </right>
      <top style="medium">
        <color indexed="8"/>
      </top>
      <bottom style="medium">
        <color indexed="8"/>
      </bottom>
      <diagonal/>
    </border>
    <border>
      <left style="medium">
        <color rgb="FF000000"/>
      </left>
      <right style="medium">
        <color rgb="FF000000"/>
      </right>
      <top style="medium">
        <color indexed="8"/>
      </top>
      <bottom style="medium">
        <color rgb="FF000000"/>
      </bottom>
      <diagonal/>
    </border>
    <border>
      <left style="medium">
        <color rgb="FF000000"/>
      </left>
      <right/>
      <top style="medium">
        <color indexed="8"/>
      </top>
      <bottom style="medium">
        <color rgb="FF000000"/>
      </bottom>
      <diagonal/>
    </border>
    <border>
      <left style="medium">
        <color indexed="64"/>
      </left>
      <right style="medium">
        <color rgb="FF000000"/>
      </right>
      <top style="medium">
        <color indexed="64"/>
      </top>
      <bottom/>
      <diagonal/>
    </border>
    <border>
      <left style="medium">
        <color rgb="FF000000"/>
      </left>
      <right/>
      <top/>
      <bottom style="medium">
        <color indexed="8"/>
      </bottom>
      <diagonal/>
    </border>
    <border>
      <left style="medium">
        <color indexed="64"/>
      </left>
      <right style="thin">
        <color indexed="64"/>
      </right>
      <top style="medium">
        <color rgb="FF000000"/>
      </top>
      <bottom/>
      <diagonal/>
    </border>
    <border>
      <left style="medium">
        <color rgb="FF000000"/>
      </left>
      <right style="medium">
        <color indexed="8"/>
      </right>
      <top style="medium">
        <color rgb="FF000000"/>
      </top>
      <bottom style="medium">
        <color rgb="FF000000"/>
      </bottom>
      <diagonal/>
    </border>
    <border>
      <left/>
      <right style="medium">
        <color rgb="FF000000"/>
      </right>
      <top/>
      <bottom style="thin">
        <color rgb="FF000000"/>
      </bottom>
      <diagonal/>
    </border>
    <border>
      <left style="medium">
        <color rgb="FF000000"/>
      </left>
      <right style="medium">
        <color rgb="FF000000"/>
      </right>
      <top style="medium">
        <color indexed="64"/>
      </top>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diagonal/>
    </border>
    <border>
      <left style="medium">
        <color indexed="64"/>
      </left>
      <right/>
      <top style="medium">
        <color rgb="FF000000"/>
      </top>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medium">
        <color rgb="FF000000"/>
      </left>
      <right style="thin">
        <color indexed="8"/>
      </right>
      <top style="medium">
        <color rgb="FF000000"/>
      </top>
      <bottom style="medium">
        <color rgb="FF000000"/>
      </bottom>
      <diagonal/>
    </border>
    <border>
      <left style="medium">
        <color rgb="FF000000"/>
      </left>
      <right style="medium">
        <color indexed="64"/>
      </right>
      <top/>
      <bottom style="thin">
        <color indexed="8"/>
      </bottom>
      <diagonal/>
    </border>
    <border>
      <left style="medium">
        <color indexed="64"/>
      </left>
      <right style="medium">
        <color rgb="FF000000"/>
      </right>
      <top style="thin">
        <color rgb="FF000000"/>
      </top>
      <bottom/>
      <diagonal/>
    </border>
    <border>
      <left style="medium">
        <color indexed="64"/>
      </left>
      <right style="medium">
        <color rgb="FF000000"/>
      </right>
      <top/>
      <bottom style="medium">
        <color rgb="FF000000"/>
      </bottom>
      <diagonal/>
    </border>
    <border>
      <left style="medium">
        <color indexed="8"/>
      </left>
      <right style="thin">
        <color indexed="8"/>
      </right>
      <top style="medium">
        <color rgb="FF000000"/>
      </top>
      <bottom style="medium">
        <color rgb="FF000000"/>
      </bottom>
      <diagonal/>
    </border>
    <border>
      <left/>
      <right style="medium">
        <color indexed="64"/>
      </right>
      <top/>
      <bottom style="medium">
        <color rgb="FF000000"/>
      </bottom>
      <diagonal/>
    </border>
    <border>
      <left/>
      <right/>
      <top style="medium">
        <color rgb="FF000000"/>
      </top>
      <bottom style="medium">
        <color indexed="8"/>
      </bottom>
      <diagonal/>
    </border>
    <border>
      <left style="medium">
        <color rgb="FF000000"/>
      </left>
      <right style="medium">
        <color indexed="8"/>
      </right>
      <top style="medium">
        <color rgb="FF000000"/>
      </top>
      <bottom/>
      <diagonal/>
    </border>
    <border>
      <left style="medium">
        <color rgb="FF000000"/>
      </left>
      <right style="medium">
        <color rgb="FF000000"/>
      </right>
      <top style="medium">
        <color indexed="8"/>
      </top>
      <bottom/>
      <diagonal/>
    </border>
    <border>
      <left style="medium">
        <color indexed="64"/>
      </left>
      <right/>
      <top style="medium">
        <color indexed="64"/>
      </top>
      <bottom style="medium">
        <color indexed="8"/>
      </bottom>
      <diagonal/>
    </border>
    <border>
      <left style="medium">
        <color indexed="64"/>
      </left>
      <right/>
      <top style="medium">
        <color indexed="8"/>
      </top>
      <bottom/>
      <diagonal/>
    </border>
    <border>
      <left/>
      <right style="medium">
        <color indexed="8"/>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rgb="FF000000"/>
      </top>
      <bottom style="thin">
        <color indexed="8"/>
      </bottom>
      <diagonal/>
    </border>
    <border>
      <left style="medium">
        <color indexed="64"/>
      </left>
      <right style="thin">
        <color indexed="64"/>
      </right>
      <top style="medium">
        <color indexed="64"/>
      </top>
      <bottom/>
      <diagonal/>
    </border>
    <border>
      <left/>
      <right style="medium">
        <color indexed="64"/>
      </right>
      <top style="medium">
        <color indexed="64"/>
      </top>
      <bottom style="medium">
        <color rgb="FF000000"/>
      </bottom>
      <diagonal/>
    </border>
    <border>
      <left style="medium">
        <color indexed="8"/>
      </left>
      <right style="medium">
        <color indexed="8"/>
      </right>
      <top style="medium">
        <color rgb="FF000000"/>
      </top>
      <bottom style="medium">
        <color indexed="8"/>
      </bottom>
      <diagonal/>
    </border>
    <border>
      <left style="medium">
        <color indexed="8"/>
      </left>
      <right/>
      <top style="medium">
        <color rgb="FF000000"/>
      </top>
      <bottom style="medium">
        <color indexed="8"/>
      </bottom>
      <diagonal/>
    </border>
    <border>
      <left style="medium">
        <color indexed="8"/>
      </left>
      <right style="medium">
        <color indexed="8"/>
      </right>
      <top style="medium">
        <color indexed="8"/>
      </top>
      <bottom style="medium">
        <color rgb="FF000000"/>
      </bottom>
      <diagonal/>
    </border>
    <border>
      <left style="medium">
        <color indexed="64"/>
      </left>
      <right/>
      <top style="medium">
        <color rgb="FF000000"/>
      </top>
      <bottom style="medium">
        <color rgb="FF000000"/>
      </bottom>
      <diagonal/>
    </border>
    <border>
      <left style="medium">
        <color rgb="FF000000"/>
      </left>
      <right style="medium">
        <color indexed="64"/>
      </right>
      <top style="medium">
        <color rgb="FF000000"/>
      </top>
      <bottom style="thin">
        <color indexed="64"/>
      </bottom>
      <diagonal/>
    </border>
    <border>
      <left/>
      <right style="medium">
        <color indexed="8"/>
      </right>
      <top style="medium">
        <color rgb="FF000000"/>
      </top>
      <bottom style="medium">
        <color rgb="FF000000"/>
      </bottom>
      <diagonal/>
    </border>
    <border>
      <left style="medium">
        <color rgb="FF000000"/>
      </left>
      <right style="medium">
        <color indexed="8"/>
      </right>
      <top/>
      <bottom style="medium">
        <color rgb="FF000000"/>
      </bottom>
      <diagonal/>
    </border>
    <border>
      <left style="medium">
        <color indexed="64"/>
      </left>
      <right style="thin">
        <color indexed="8"/>
      </right>
      <top/>
      <bottom style="medium">
        <color rgb="FF000000"/>
      </bottom>
      <diagonal/>
    </border>
    <border>
      <left/>
      <right style="thin">
        <color rgb="FF000000"/>
      </right>
      <top/>
      <bottom/>
      <diagonal/>
    </border>
    <border>
      <left style="medium">
        <color rgb="FF000000"/>
      </left>
      <right style="medium">
        <color indexed="64"/>
      </right>
      <top/>
      <bottom style="thin">
        <color indexed="64"/>
      </bottom>
      <diagonal/>
    </border>
    <border>
      <left style="thin">
        <color rgb="FF000000"/>
      </left>
      <right style="thin">
        <color rgb="FF000000"/>
      </right>
      <top/>
      <bottom style="medium">
        <color rgb="FF000000"/>
      </bottom>
      <diagonal/>
    </border>
    <border>
      <left style="medium">
        <color indexed="64"/>
      </left>
      <right style="thin">
        <color indexed="8"/>
      </right>
      <top style="medium">
        <color rgb="FF000000"/>
      </top>
      <bottom style="thin">
        <color indexed="8"/>
      </bottom>
      <diagonal/>
    </border>
    <border>
      <left style="medium">
        <color indexed="8"/>
      </left>
      <right/>
      <top style="medium">
        <color indexed="8"/>
      </top>
      <bottom style="medium">
        <color rgb="FF000000"/>
      </bottom>
      <diagonal/>
    </border>
    <border>
      <left style="medium">
        <color indexed="64"/>
      </left>
      <right style="medium">
        <color rgb="FF000000"/>
      </right>
      <top/>
      <bottom style="thin">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thin">
        <color rgb="FF000000"/>
      </left>
      <right style="thin">
        <color rgb="FF000000"/>
      </right>
      <top/>
      <bottom/>
      <diagonal/>
    </border>
    <border>
      <left style="medium">
        <color rgb="FF000000"/>
      </left>
      <right style="thin">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bottom/>
      <diagonal/>
    </border>
    <border>
      <left style="medium">
        <color rgb="FF000000"/>
      </left>
      <right style="thin">
        <color rgb="FF000000"/>
      </right>
      <top style="thin">
        <color rgb="FF000000"/>
      </top>
      <bottom style="medium">
        <color rgb="FF000000"/>
      </bottom>
      <diagonal/>
    </border>
    <border>
      <left style="medium">
        <color indexed="64"/>
      </left>
      <right/>
      <top style="medium">
        <color rgb="FF000000"/>
      </top>
      <bottom style="thin">
        <color indexed="64"/>
      </bottom>
      <diagonal/>
    </border>
    <border>
      <left style="medium">
        <color rgb="FF000000"/>
      </left>
      <right/>
      <top/>
      <bottom style="thin">
        <color indexed="64"/>
      </bottom>
      <diagonal/>
    </border>
    <border>
      <left style="medium">
        <color indexed="8"/>
      </left>
      <right/>
      <top/>
      <bottom style="thin">
        <color indexed="8"/>
      </bottom>
      <diagonal/>
    </border>
    <border>
      <left style="medium">
        <color indexed="8"/>
      </left>
      <right/>
      <top style="medium">
        <color rgb="FF000000"/>
      </top>
      <bottom style="medium">
        <color rgb="FF000000"/>
      </bottom>
      <diagonal/>
    </border>
    <border>
      <left style="medium">
        <color indexed="64"/>
      </left>
      <right style="thin">
        <color indexed="64"/>
      </right>
      <top/>
      <bottom style="medium">
        <color rgb="FF000000"/>
      </bottom>
      <diagonal/>
    </border>
    <border>
      <left/>
      <right/>
      <top style="thin">
        <color indexed="64"/>
      </top>
      <bottom style="medium">
        <color rgb="FF000000"/>
      </bottom>
      <diagonal/>
    </border>
    <border>
      <left style="medium">
        <color indexed="64"/>
      </left>
      <right/>
      <top/>
      <bottom style="thin">
        <color rgb="FF000000"/>
      </bottom>
      <diagonal/>
    </border>
    <border>
      <left style="thin">
        <color indexed="8"/>
      </left>
      <right style="medium">
        <color rgb="FF000000"/>
      </right>
      <top/>
      <bottom/>
      <diagonal/>
    </border>
    <border>
      <left/>
      <right style="medium">
        <color indexed="64"/>
      </right>
      <top style="medium">
        <color rgb="FF000000"/>
      </top>
      <bottom style="medium">
        <color rgb="FF000000"/>
      </bottom>
      <diagonal/>
    </border>
    <border>
      <left/>
      <right style="medium">
        <color rgb="FF000000"/>
      </right>
      <top style="thin">
        <color rgb="FF000000"/>
      </top>
      <bottom style="medium">
        <color rgb="FF000000"/>
      </bottom>
      <diagonal/>
    </border>
    <border>
      <left style="medium">
        <color indexed="8"/>
      </left>
      <right style="medium">
        <color indexed="8"/>
      </right>
      <top style="medium">
        <color rgb="FF000000"/>
      </top>
      <bottom/>
      <diagonal/>
    </border>
    <border>
      <left style="medium">
        <color indexed="8"/>
      </left>
      <right style="medium">
        <color indexed="64"/>
      </right>
      <top style="medium">
        <color rgb="FF000000"/>
      </top>
      <bottom/>
      <diagonal/>
    </border>
    <border>
      <left style="medium">
        <color indexed="64"/>
      </left>
      <right style="thin">
        <color indexed="64"/>
      </right>
      <top style="medium">
        <color rgb="FF000000"/>
      </top>
      <bottom style="thin">
        <color indexed="64"/>
      </bottom>
      <diagonal/>
    </border>
    <border>
      <left style="medium">
        <color indexed="64"/>
      </left>
      <right style="medium">
        <color indexed="8"/>
      </right>
      <top/>
      <bottom style="medium">
        <color rgb="FF000000"/>
      </bottom>
      <diagonal/>
    </border>
    <border>
      <left style="medium">
        <color indexed="8"/>
      </left>
      <right style="medium">
        <color indexed="8"/>
      </right>
      <top style="medium">
        <color indexed="64"/>
      </top>
      <bottom style="medium">
        <color rgb="FF000000"/>
      </bottom>
      <diagonal/>
    </border>
    <border>
      <left style="medium">
        <color indexed="8"/>
      </left>
      <right style="medium">
        <color indexed="64"/>
      </right>
      <top style="medium">
        <color indexed="64"/>
      </top>
      <bottom style="medium">
        <color rgb="FF000000"/>
      </bottom>
      <diagonal/>
    </border>
    <border>
      <left style="medium">
        <color indexed="64"/>
      </left>
      <right style="thin">
        <color indexed="64"/>
      </right>
      <top style="medium">
        <color indexed="64"/>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top style="medium">
        <color rgb="FF000000"/>
      </top>
      <bottom style="medium">
        <color rgb="FF000000"/>
      </bottom>
      <diagonal/>
    </border>
    <border>
      <left style="medium">
        <color rgb="FF000000"/>
      </left>
      <right style="medium">
        <color indexed="64"/>
      </right>
      <top style="thin">
        <color rgb="FF000000"/>
      </top>
      <bottom/>
      <diagonal/>
    </border>
    <border>
      <left style="medium">
        <color indexed="64"/>
      </left>
      <right style="medium">
        <color indexed="64"/>
      </right>
      <top/>
      <bottom style="thin">
        <color rgb="FF000000"/>
      </bottom>
      <diagonal/>
    </border>
    <border>
      <left style="medium">
        <color rgb="FF000000"/>
      </left>
      <right style="medium">
        <color indexed="64"/>
      </right>
      <top style="medium">
        <color rgb="FF000000"/>
      </top>
      <bottom style="medium">
        <color indexed="64"/>
      </bottom>
      <diagonal/>
    </border>
    <border>
      <left style="medium">
        <color indexed="64"/>
      </left>
      <right style="thin">
        <color indexed="8"/>
      </right>
      <top style="medium">
        <color rgb="FF000000"/>
      </top>
      <bottom style="medium">
        <color indexed="8"/>
      </bottom>
      <diagonal/>
    </border>
    <border>
      <left style="medium">
        <color indexed="64"/>
      </left>
      <right/>
      <top style="medium">
        <color rgb="FF000000"/>
      </top>
      <bottom style="medium">
        <color indexed="8"/>
      </bottom>
      <diagonal/>
    </border>
    <border>
      <left style="medium">
        <color indexed="64"/>
      </left>
      <right style="thin">
        <color indexed="8"/>
      </right>
      <top style="medium">
        <color indexed="64"/>
      </top>
      <bottom style="medium">
        <color rgb="FF000000"/>
      </bottom>
      <diagonal/>
    </border>
    <border>
      <left style="medium">
        <color rgb="FF000000"/>
      </left>
      <right style="thin">
        <color indexed="64"/>
      </right>
      <top style="medium">
        <color rgb="FF000000"/>
      </top>
      <bottom style="medium">
        <color rgb="FF000000"/>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medium">
        <color rgb="FF000000"/>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style="medium">
        <color rgb="FF000000"/>
      </right>
      <top style="medium">
        <color indexed="64"/>
      </top>
      <bottom style="thin">
        <color rgb="FF000000"/>
      </bottom>
      <diagonal/>
    </border>
    <border>
      <left/>
      <right style="medium">
        <color rgb="FF000000"/>
      </right>
      <top style="thin">
        <color rgb="FF000000"/>
      </top>
      <bottom style="medium">
        <color indexed="64"/>
      </bottom>
      <diagonal/>
    </border>
    <border>
      <left/>
      <right style="thin">
        <color rgb="FF000000"/>
      </right>
      <top style="thin">
        <color rgb="FF000000"/>
      </top>
      <bottom style="thin">
        <color rgb="FF000000"/>
      </bottom>
      <diagonal/>
    </border>
    <border>
      <left style="medium">
        <color indexed="64"/>
      </left>
      <right style="medium">
        <color indexed="64"/>
      </right>
      <top style="thin">
        <color indexed="64"/>
      </top>
      <bottom style="medium">
        <color rgb="FF000000"/>
      </bottom>
      <diagonal/>
    </border>
    <border>
      <left style="medium">
        <color indexed="64"/>
      </left>
      <right style="medium">
        <color indexed="64"/>
      </right>
      <top style="medium">
        <color rgb="FF000000"/>
      </top>
      <bottom style="thin">
        <color indexed="8"/>
      </bottom>
      <diagonal/>
    </border>
    <border>
      <left style="medium">
        <color rgb="FF000000"/>
      </left>
      <right style="medium">
        <color indexed="64"/>
      </right>
      <top style="medium">
        <color rgb="FF000000"/>
      </top>
      <bottom style="thin">
        <color rgb="FF000000"/>
      </bottom>
      <diagonal/>
    </border>
    <border>
      <left style="thin">
        <color rgb="FF000000"/>
      </left>
      <right style="medium">
        <color indexed="64"/>
      </right>
      <top/>
      <bottom/>
      <diagonal/>
    </border>
    <border>
      <left style="medium">
        <color indexed="64"/>
      </left>
      <right/>
      <top style="medium">
        <color rgb="FF000000"/>
      </top>
      <bottom style="thin">
        <color rgb="FF000000"/>
      </bottom>
      <diagonal/>
    </border>
    <border>
      <left style="thin">
        <color rgb="FF000000"/>
      </left>
      <right style="medium">
        <color indexed="64"/>
      </right>
      <top style="medium">
        <color rgb="FF000000"/>
      </top>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rgb="FF000000"/>
      </bottom>
      <diagonal/>
    </border>
    <border>
      <left style="thin">
        <color rgb="FF000000"/>
      </left>
      <right style="medium">
        <color indexed="64"/>
      </right>
      <top/>
      <bottom style="medium">
        <color rgb="FF000000"/>
      </bottom>
      <diagonal/>
    </border>
    <border>
      <left style="medium">
        <color indexed="64"/>
      </left>
      <right style="medium">
        <color indexed="64"/>
      </right>
      <top style="thin">
        <color rgb="FF000000"/>
      </top>
      <bottom style="thin">
        <color indexed="8"/>
      </bottom>
      <diagonal/>
    </border>
    <border>
      <left style="thin">
        <color rgb="FF000000"/>
      </left>
      <right style="medium">
        <color indexed="64"/>
      </right>
      <top style="medium">
        <color rgb="FF000000"/>
      </top>
      <bottom style="medium">
        <color rgb="FF000000"/>
      </bottom>
      <diagonal/>
    </border>
    <border>
      <left style="medium">
        <color indexed="64"/>
      </left>
      <right style="thin">
        <color indexed="8"/>
      </right>
      <top style="medium">
        <color indexed="8"/>
      </top>
      <bottom/>
      <diagonal/>
    </border>
    <border>
      <left style="medium">
        <color rgb="FF000000"/>
      </left>
      <right style="medium">
        <color indexed="64"/>
      </right>
      <top/>
      <bottom style="thin">
        <color rgb="FF000000"/>
      </bottom>
      <diagonal/>
    </border>
    <border>
      <left/>
      <right style="medium">
        <color indexed="64"/>
      </right>
      <top style="medium">
        <color rgb="FF000000"/>
      </top>
      <bottom style="thin">
        <color rgb="FF000000"/>
      </bottom>
      <diagonal/>
    </border>
    <border>
      <left style="medium">
        <color rgb="FF000000"/>
      </left>
      <right style="medium">
        <color indexed="64"/>
      </right>
      <top style="medium">
        <color indexed="64"/>
      </top>
      <bottom style="thin">
        <color indexed="64"/>
      </bottom>
      <diagonal/>
    </border>
    <border>
      <left style="medium">
        <color rgb="FF000000"/>
      </left>
      <right style="medium">
        <color indexed="64"/>
      </right>
      <top style="thin">
        <color indexed="64"/>
      </top>
      <bottom style="medium">
        <color rgb="FF000000"/>
      </bottom>
      <diagonal/>
    </border>
    <border>
      <left style="medium">
        <color rgb="FF000000"/>
      </left>
      <right style="medium">
        <color indexed="64"/>
      </right>
      <top style="medium">
        <color rgb="FF000000"/>
      </top>
      <bottom style="thin">
        <color indexed="8"/>
      </bottom>
      <diagonal/>
    </border>
    <border>
      <left/>
      <right style="medium">
        <color indexed="8"/>
      </right>
      <top style="medium">
        <color indexed="8"/>
      </top>
      <bottom style="medium">
        <color indexed="64"/>
      </bottom>
      <diagonal/>
    </border>
    <border>
      <left style="thin">
        <color indexed="8"/>
      </left>
      <right style="medium">
        <color indexed="8"/>
      </right>
      <top style="medium">
        <color indexed="8"/>
      </top>
      <bottom style="medium">
        <color indexed="64"/>
      </bottom>
      <diagonal/>
    </border>
    <border>
      <left style="medium">
        <color indexed="64"/>
      </left>
      <right style="medium">
        <color indexed="8"/>
      </right>
      <top style="medium">
        <color rgb="FF000000"/>
      </top>
      <bottom style="medium">
        <color indexed="8"/>
      </bottom>
      <diagonal/>
    </border>
    <border>
      <left style="medium">
        <color indexed="64"/>
      </left>
      <right style="medium">
        <color indexed="8"/>
      </right>
      <top style="medium">
        <color indexed="8"/>
      </top>
      <bottom style="medium">
        <color rgb="FF000000"/>
      </bottom>
      <diagonal/>
    </border>
    <border>
      <left style="medium">
        <color indexed="64"/>
      </left>
      <right style="medium">
        <color rgb="FF000000"/>
      </right>
      <top style="medium">
        <color indexed="64"/>
      </top>
      <bottom style="medium">
        <color rgb="FF000000"/>
      </bottom>
      <diagonal/>
    </border>
    <border>
      <left/>
      <right style="medium">
        <color indexed="8"/>
      </right>
      <top/>
      <bottom style="medium">
        <color indexed="64"/>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indexed="64"/>
      </bottom>
      <diagonal/>
    </border>
    <border>
      <left style="medium">
        <color indexed="64"/>
      </left>
      <right style="medium">
        <color indexed="64"/>
      </right>
      <top style="medium">
        <color rgb="FF000000"/>
      </top>
      <bottom style="thin">
        <color indexed="64"/>
      </bottom>
      <diagonal/>
    </border>
    <border>
      <left style="thin">
        <color indexed="8"/>
      </left>
      <right style="medium">
        <color rgb="FF000000"/>
      </right>
      <top/>
      <bottom style="medium">
        <color rgb="FF000000"/>
      </bottom>
      <diagonal/>
    </border>
    <border>
      <left/>
      <right style="thin">
        <color indexed="8"/>
      </right>
      <top/>
      <bottom style="medium">
        <color indexed="64"/>
      </bottom>
      <diagonal/>
    </border>
    <border>
      <left/>
      <right style="medium">
        <color indexed="64"/>
      </right>
      <top style="medium">
        <color rgb="FF000000"/>
      </top>
      <bottom style="thin">
        <color indexed="8"/>
      </bottom>
      <diagonal/>
    </border>
    <border>
      <left style="medium">
        <color indexed="64"/>
      </left>
      <right/>
      <top style="medium">
        <color rgb="FF000000"/>
      </top>
      <bottom style="thin">
        <color indexed="8"/>
      </bottom>
      <diagonal/>
    </border>
    <border>
      <left style="medium">
        <color rgb="FF000000"/>
      </left>
      <right style="medium">
        <color indexed="8"/>
      </right>
      <top/>
      <bottom/>
      <diagonal/>
    </border>
    <border>
      <left style="thin">
        <color indexed="8"/>
      </left>
      <right/>
      <top/>
      <bottom style="medium">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rgb="FF000000"/>
      </right>
      <top style="thin">
        <color rgb="FF000000"/>
      </top>
      <bottom style="thin">
        <color rgb="FF000000"/>
      </bottom>
      <diagonal/>
    </border>
    <border>
      <left style="medium">
        <color indexed="8"/>
      </left>
      <right style="medium">
        <color rgb="FF000000"/>
      </right>
      <top style="medium">
        <color rgb="FF000000"/>
      </top>
      <bottom style="medium">
        <color rgb="FF000000"/>
      </bottom>
      <diagonal/>
    </border>
    <border>
      <left/>
      <right style="medium">
        <color indexed="8"/>
      </right>
      <top style="medium">
        <color rgb="FF000000"/>
      </top>
      <bottom/>
      <diagonal/>
    </border>
    <border>
      <left style="medium">
        <color rgb="FF000000"/>
      </left>
      <right/>
      <top style="medium">
        <color indexed="64"/>
      </top>
      <bottom style="thin">
        <color rgb="FF000000"/>
      </bottom>
      <diagonal/>
    </border>
    <border>
      <left style="medium">
        <color rgb="FF000000"/>
      </left>
      <right/>
      <top style="thin">
        <color rgb="FF000000"/>
      </top>
      <bottom style="medium">
        <color indexed="64"/>
      </bottom>
      <diagonal/>
    </border>
    <border>
      <left/>
      <right style="thin">
        <color indexed="8"/>
      </right>
      <top/>
      <bottom style="thin">
        <color indexed="8"/>
      </bottom>
      <diagonal/>
    </border>
    <border>
      <left style="medium">
        <color rgb="FF000000"/>
      </left>
      <right style="medium">
        <color rgb="FF000000"/>
      </right>
      <top style="medium">
        <color indexed="64"/>
      </top>
      <bottom style="thin">
        <color rgb="FF000000"/>
      </bottom>
      <diagonal/>
    </border>
    <border>
      <left style="medium">
        <color rgb="FF000000"/>
      </left>
      <right style="medium">
        <color rgb="FF000000"/>
      </right>
      <top style="thin">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indexed="64"/>
      </left>
      <right style="medium">
        <color indexed="8"/>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indexed="8"/>
      </left>
      <right style="thin">
        <color indexed="8"/>
      </right>
      <top/>
      <bottom style="thin">
        <color indexed="64"/>
      </bottom>
      <diagonal/>
    </border>
    <border>
      <left style="medium">
        <color indexed="8"/>
      </left>
      <right/>
      <top/>
      <bottom style="thin">
        <color indexed="64"/>
      </bottom>
      <diagonal/>
    </border>
    <border>
      <left style="medium">
        <color rgb="FF000000"/>
      </left>
      <right style="medium">
        <color rgb="FF000000"/>
      </right>
      <top/>
      <bottom style="thin">
        <color indexed="64"/>
      </bottom>
      <diagonal/>
    </border>
    <border>
      <left/>
      <right/>
      <top style="thin">
        <color auto="1"/>
      </top>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medium">
        <color indexed="8"/>
      </left>
      <right style="medium">
        <color indexed="64"/>
      </right>
      <top style="medium">
        <color rgb="FF000000"/>
      </top>
      <bottom style="medium">
        <color rgb="FF000000"/>
      </bottom>
      <diagonal/>
    </border>
    <border>
      <left style="medium">
        <color indexed="8"/>
      </left>
      <right style="thin">
        <color indexed="8"/>
      </right>
      <top style="medium">
        <color rgb="FF000000"/>
      </top>
      <bottom/>
      <diagonal/>
    </border>
    <border>
      <left style="medium">
        <color indexed="8"/>
      </left>
      <right/>
      <top style="medium">
        <color rgb="FF000000"/>
      </top>
      <bottom/>
      <diagonal/>
    </border>
    <border>
      <left style="medium">
        <color indexed="8"/>
      </left>
      <right style="thin">
        <color indexed="8"/>
      </right>
      <top/>
      <bottom style="medium">
        <color rgb="FF000000"/>
      </bottom>
      <diagonal/>
    </border>
    <border>
      <left style="medium">
        <color indexed="8"/>
      </left>
      <right style="medium">
        <color rgb="FF000000"/>
      </right>
      <top/>
      <bottom style="medium">
        <color rgb="FF000000"/>
      </bottom>
      <diagonal/>
    </border>
    <border>
      <left style="medium">
        <color rgb="FF000000"/>
      </left>
      <right style="medium">
        <color rgb="FF000000"/>
      </right>
      <top style="thin">
        <color indexed="64"/>
      </top>
      <bottom style="medium">
        <color rgb="FF000000"/>
      </bottom>
      <diagonal/>
    </border>
    <border>
      <left style="medium">
        <color indexed="64"/>
      </left>
      <right/>
      <top style="thin">
        <color rgb="FF000000"/>
      </top>
      <bottom style="medium">
        <color indexed="64"/>
      </bottom>
      <diagonal/>
    </border>
    <border>
      <left style="medium">
        <color rgb="FF000000"/>
      </left>
      <right/>
      <top style="thin">
        <color rgb="FF000000"/>
      </top>
      <bottom style="thin">
        <color indexed="64"/>
      </bottom>
      <diagonal/>
    </border>
    <border>
      <left style="medium">
        <color rgb="FF000000"/>
      </left>
      <right style="thin">
        <color rgb="FF000000"/>
      </right>
      <top style="thin">
        <color rgb="FF000000"/>
      </top>
      <bottom/>
      <diagonal/>
    </border>
    <border>
      <left style="medium">
        <color rgb="FF000000"/>
      </left>
      <right/>
      <top style="medium">
        <color indexed="64"/>
      </top>
      <bottom/>
      <diagonal/>
    </border>
    <border>
      <left/>
      <right style="thin">
        <color rgb="FF000000"/>
      </right>
      <top style="thin">
        <color rgb="FF000000"/>
      </top>
      <bottom/>
      <diagonal/>
    </border>
    <border>
      <left style="medium">
        <color indexed="64"/>
      </left>
      <right/>
      <top style="thin">
        <color indexed="64"/>
      </top>
      <bottom style="medium">
        <color rgb="FF000000"/>
      </bottom>
      <diagonal/>
    </border>
    <border>
      <left style="medium">
        <color indexed="64"/>
      </left>
      <right/>
      <top style="thin">
        <color auto="1"/>
      </top>
      <bottom/>
      <diagonal/>
    </border>
    <border>
      <left style="medium">
        <color rgb="FF000000"/>
      </left>
      <right/>
      <top style="thin">
        <color indexed="64"/>
      </top>
      <bottom/>
      <diagonal/>
    </border>
    <border>
      <left style="medium">
        <color rgb="FF000000"/>
      </left>
      <right style="medium">
        <color rgb="FF000000"/>
      </right>
      <top style="thin">
        <color indexed="64"/>
      </top>
      <bottom/>
      <diagonal/>
    </border>
    <border>
      <left style="medium">
        <color indexed="64"/>
      </left>
      <right style="medium">
        <color indexed="64"/>
      </right>
      <top style="thin">
        <color indexed="64"/>
      </top>
      <bottom/>
      <diagonal/>
    </border>
    <border>
      <left style="medium">
        <color rgb="FF000000"/>
      </left>
      <right style="medium">
        <color indexed="64"/>
      </right>
      <top style="thin">
        <color indexed="64"/>
      </top>
      <bottom/>
      <diagonal/>
    </border>
    <border>
      <left/>
      <right style="medium">
        <color indexed="64"/>
      </right>
      <top style="thin">
        <color indexed="64"/>
      </top>
      <bottom style="thin">
        <color indexed="64"/>
      </bottom>
      <diagonal/>
    </border>
    <border>
      <left style="thin">
        <color auto="1"/>
      </left>
      <right style="thin">
        <color rgb="FF000000"/>
      </right>
      <top style="thin">
        <color auto="1"/>
      </top>
      <bottom/>
      <diagonal/>
    </border>
    <border>
      <left style="medium">
        <color indexed="8"/>
      </left>
      <right style="thin">
        <color indexed="8"/>
      </right>
      <top style="medium">
        <color indexed="8"/>
      </top>
      <bottom/>
      <diagonal/>
    </border>
    <border>
      <left style="medium">
        <color rgb="FF000000"/>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thin">
        <color indexed="64"/>
      </bottom>
      <diagonal/>
    </border>
    <border>
      <left/>
      <right style="thin">
        <color auto="1"/>
      </right>
      <top style="thin">
        <color auto="1"/>
      </top>
      <bottom/>
      <diagonal/>
    </border>
    <border>
      <left/>
      <right style="thin">
        <color indexed="64"/>
      </right>
      <top/>
      <bottom/>
      <diagonal/>
    </border>
    <border>
      <left style="medium">
        <color rgb="FF000000"/>
      </left>
      <right/>
      <top style="medium">
        <color indexed="64"/>
      </top>
      <bottom style="thin">
        <color indexed="64"/>
      </bottom>
      <diagonal/>
    </border>
    <border>
      <left/>
      <right style="medium">
        <color rgb="FF000000"/>
      </right>
      <top/>
      <bottom style="thin">
        <color indexed="64"/>
      </bottom>
      <diagonal/>
    </border>
    <border>
      <left/>
      <right style="medium">
        <color rgb="FF000000"/>
      </right>
      <top style="thin">
        <color indexed="64"/>
      </top>
      <bottom style="medium">
        <color rgb="FF000000"/>
      </bottom>
      <diagonal/>
    </border>
    <border>
      <left style="medium">
        <color rgb="FF000000"/>
      </left>
      <right style="medium">
        <color rgb="FF000000"/>
      </right>
      <top style="thin">
        <color indexed="8"/>
      </top>
      <bottom style="thin">
        <color indexed="8"/>
      </bottom>
      <diagonal/>
    </border>
    <border>
      <left style="medium">
        <color rgb="FF000000"/>
      </left>
      <right style="medium">
        <color rgb="FF000000"/>
      </right>
      <top style="thin">
        <color indexed="8"/>
      </top>
      <bottom/>
      <diagonal/>
    </border>
    <border>
      <left style="medium">
        <color rgb="FF000000"/>
      </left>
      <right style="medium">
        <color rgb="FF000000"/>
      </right>
      <top style="thin">
        <color indexed="8"/>
      </top>
      <bottom style="medium">
        <color rgb="FF000000"/>
      </bottom>
      <diagonal/>
    </border>
    <border>
      <left style="medium">
        <color indexed="64"/>
      </left>
      <right/>
      <top style="thin">
        <color indexed="8"/>
      </top>
      <bottom style="thin">
        <color indexed="8"/>
      </bottom>
      <diagonal/>
    </border>
    <border>
      <left style="medium">
        <color indexed="64"/>
      </left>
      <right/>
      <top style="thin">
        <color indexed="8"/>
      </top>
      <bottom/>
      <diagonal/>
    </border>
    <border>
      <left/>
      <right style="thin">
        <color indexed="8"/>
      </right>
      <top/>
      <bottom style="medium">
        <color rgb="FF000000"/>
      </bottom>
      <diagonal/>
    </border>
    <border>
      <left style="medium">
        <color rgb="FF000000"/>
      </left>
      <right/>
      <top/>
      <bottom style="medium">
        <color indexed="64"/>
      </bottom>
      <diagonal/>
    </border>
    <border>
      <left style="medium">
        <color indexed="8"/>
      </left>
      <right style="thin">
        <color indexed="8"/>
      </right>
      <top style="thin">
        <color indexed="8"/>
      </top>
      <bottom/>
      <diagonal/>
    </border>
    <border>
      <left style="medium">
        <color indexed="8"/>
      </left>
      <right/>
      <top style="thin">
        <color indexed="8"/>
      </top>
      <bottom/>
      <diagonal/>
    </border>
    <border>
      <left style="thin">
        <color auto="1"/>
      </left>
      <right style="thin">
        <color auto="1"/>
      </right>
      <top style="thin">
        <color auto="1"/>
      </top>
      <bottom style="thin">
        <color auto="1"/>
      </bottom>
      <diagonal/>
    </border>
    <border>
      <left style="medium">
        <color indexed="64"/>
      </left>
      <right style="medium">
        <color rgb="FF000000"/>
      </right>
      <top style="thin">
        <color indexed="64"/>
      </top>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diagonal/>
    </border>
    <border>
      <left/>
      <right style="medium">
        <color indexed="64"/>
      </right>
      <top style="thin">
        <color indexed="8"/>
      </top>
      <bottom/>
      <diagonal/>
    </border>
    <border>
      <left style="medium">
        <color indexed="64"/>
      </left>
      <right style="thin">
        <color indexed="8"/>
      </right>
      <top style="thin">
        <color indexed="8"/>
      </top>
      <bottom/>
      <diagonal/>
    </border>
    <border>
      <left/>
      <right/>
      <top style="thin">
        <color auto="1"/>
      </top>
      <bottom style="thin">
        <color auto="1"/>
      </bottom>
      <diagonal/>
    </border>
    <border>
      <left style="medium">
        <color indexed="64"/>
      </left>
      <right style="medium">
        <color indexed="64"/>
      </right>
      <top style="thin">
        <color auto="1"/>
      </top>
      <bottom/>
      <diagonal/>
    </border>
    <border>
      <left/>
      <right style="medium">
        <color indexed="64"/>
      </right>
      <top style="thin">
        <color indexed="64"/>
      </top>
      <bottom/>
      <diagonal/>
    </border>
    <border>
      <left style="medium">
        <color indexed="64"/>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diagonal/>
    </border>
    <border>
      <left style="medium">
        <color rgb="FF000000"/>
      </left>
      <right style="medium">
        <color indexed="64"/>
      </right>
      <top style="thin">
        <color indexed="8"/>
      </top>
      <bottom style="medium">
        <color rgb="FF000000"/>
      </bottom>
      <diagonal/>
    </border>
    <border>
      <left style="medium">
        <color rgb="FF000000"/>
      </left>
      <right style="medium">
        <color indexed="64"/>
      </right>
      <top style="thin">
        <color indexed="8"/>
      </top>
      <bottom/>
      <diagonal/>
    </border>
    <border>
      <left style="medium">
        <color indexed="64"/>
      </left>
      <right style="thin">
        <color indexed="64"/>
      </right>
      <top style="thin">
        <color indexed="64"/>
      </top>
      <bottom/>
      <diagonal/>
    </border>
    <border>
      <left/>
      <right/>
      <top style="thin">
        <color indexed="8"/>
      </top>
      <bottom/>
      <diagonal/>
    </border>
    <border>
      <left/>
      <right style="medium">
        <color indexed="64"/>
      </right>
      <top style="thin">
        <color indexed="64"/>
      </top>
      <bottom/>
      <diagonal/>
    </border>
    <border>
      <left/>
      <right/>
      <top style="thin">
        <color indexed="8"/>
      </top>
      <bottom style="thin">
        <color indexed="64"/>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rgb="FF000000"/>
      </left>
      <right/>
      <top style="thin">
        <color auto="1"/>
      </top>
      <bottom style="thin">
        <color auto="1"/>
      </bottom>
      <diagonal/>
    </border>
    <border>
      <left style="thin">
        <color rgb="FF000000"/>
      </left>
      <right/>
      <top style="thin">
        <color auto="1"/>
      </top>
      <bottom style="thin">
        <color rgb="FF000000"/>
      </bottom>
      <diagonal/>
    </border>
    <border>
      <left/>
      <right/>
      <top style="thin">
        <color auto="1"/>
      </top>
      <bottom style="thin">
        <color rgb="FF000000"/>
      </bottom>
      <diagonal/>
    </border>
    <border>
      <left style="medium">
        <color rgb="FF000000"/>
      </left>
      <right style="medium">
        <color rgb="FF000000"/>
      </right>
      <top style="medium">
        <color indexed="64"/>
      </top>
      <bottom style="medium">
        <color indexed="64"/>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top style="medium">
        <color rgb="FF000000"/>
      </top>
      <bottom style="medium">
        <color indexed="64"/>
      </bottom>
      <diagonal/>
    </border>
    <border>
      <left style="medium">
        <color indexed="64"/>
      </left>
      <right style="thin">
        <color indexed="64"/>
      </right>
      <top style="medium">
        <color rgb="FF000000"/>
      </top>
      <bottom style="medium">
        <color indexed="64"/>
      </bottom>
      <diagonal/>
    </border>
    <border>
      <left style="medium">
        <color indexed="64"/>
      </left>
      <right style="medium">
        <color rgb="FF000000"/>
      </right>
      <top style="medium">
        <color rgb="FF000000"/>
      </top>
      <bottom style="medium">
        <color indexed="64"/>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medium">
        <color rgb="FF000000"/>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rgb="FF000000"/>
      </top>
      <bottom/>
      <diagonal/>
    </border>
    <border>
      <left/>
      <right style="medium">
        <color rgb="FF000000"/>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thin">
        <color rgb="FF000000"/>
      </bottom>
      <diagonal/>
    </border>
    <border>
      <left style="medium">
        <color indexed="64"/>
      </left>
      <right style="thin">
        <color indexed="64"/>
      </right>
      <top style="thin">
        <color indexed="64"/>
      </top>
      <bottom/>
      <diagonal/>
    </border>
    <border>
      <left style="medium">
        <color rgb="FF000000"/>
      </left>
      <right style="medium">
        <color rgb="FF000000"/>
      </right>
      <top/>
      <bottom style="medium">
        <color indexed="8"/>
      </bottom>
      <diagonal/>
    </border>
    <border>
      <left style="thin">
        <color indexed="64"/>
      </left>
      <right style="thin">
        <color indexed="64"/>
      </right>
      <top style="thin">
        <color indexed="64"/>
      </top>
      <bottom style="thin">
        <color indexed="64"/>
      </bottom>
      <diagonal/>
    </border>
  </borders>
  <cellStyleXfs count="39">
    <xf numFmtId="0" fontId="0" fillId="0" borderId="0"/>
    <xf numFmtId="0" fontId="2"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3" borderId="0" applyNumberFormat="0" applyBorder="0" applyAlignment="0" applyProtection="0"/>
    <xf numFmtId="0" fontId="8" fillId="7" borderId="1" applyNumberFormat="0" applyAlignment="0" applyProtection="0"/>
    <xf numFmtId="0" fontId="10" fillId="22" borderId="0" applyNumberFormat="0" applyBorder="0" applyAlignment="0" applyProtection="0"/>
    <xf numFmtId="0" fontId="2" fillId="0" borderId="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2" fillId="23" borderId="4" applyNumberFormat="0" applyAlignment="0" applyProtection="0"/>
    <xf numFmtId="0" fontId="6" fillId="20" borderId="1" applyNumberFormat="0" applyAlignment="0" applyProtection="0"/>
    <xf numFmtId="0" fontId="9" fillId="0" borderId="3" applyNumberFormat="0" applyFill="0" applyAlignment="0" applyProtection="0"/>
    <xf numFmtId="0" fontId="7" fillId="21" borderId="2" applyNumberFormat="0" applyAlignment="0" applyProtection="0"/>
    <xf numFmtId="164" fontId="2" fillId="0" borderId="0" applyFont="0" applyFill="0" applyBorder="0" applyAlignment="0" applyProtection="0"/>
    <xf numFmtId="0" fontId="12" fillId="0" borderId="0"/>
    <xf numFmtId="9" fontId="2" fillId="0" borderId="0" applyFont="0" applyFill="0" applyBorder="0" applyAlignment="0" applyProtection="0"/>
    <xf numFmtId="0" fontId="1" fillId="0" borderId="0"/>
    <xf numFmtId="0" fontId="1" fillId="0" borderId="0"/>
  </cellStyleXfs>
  <cellXfs count="3148">
    <xf numFmtId="0" fontId="0" fillId="0" borderId="0" xfId="0"/>
    <xf numFmtId="49" fontId="17" fillId="29" borderId="77" xfId="0" applyNumberFormat="1" applyFont="1" applyFill="1" applyBorder="1" applyAlignment="1">
      <alignment horizontal="center" vertical="top"/>
    </xf>
    <xf numFmtId="2" fontId="18" fillId="27" borderId="125" xfId="0" applyNumberFormat="1" applyFont="1" applyFill="1" applyBorder="1" applyAlignment="1">
      <alignment horizontal="center" vertical="center"/>
    </xf>
    <xf numFmtId="2" fontId="15" fillId="29" borderId="109" xfId="0" applyNumberFormat="1" applyFont="1" applyFill="1" applyBorder="1" applyAlignment="1">
      <alignment horizontal="center" vertical="center"/>
    </xf>
    <xf numFmtId="2" fontId="18" fillId="27" borderId="146" xfId="0" applyNumberFormat="1" applyFont="1" applyFill="1" applyBorder="1" applyAlignment="1">
      <alignment horizontal="center" vertical="center"/>
    </xf>
    <xf numFmtId="2" fontId="15" fillId="29" borderId="59" xfId="0" applyNumberFormat="1" applyFont="1" applyFill="1" applyBorder="1" applyAlignment="1">
      <alignment horizontal="center" vertical="center"/>
    </xf>
    <xf numFmtId="0" fontId="13" fillId="25" borderId="20" xfId="0" applyFont="1" applyFill="1" applyBorder="1" applyAlignment="1">
      <alignment horizontal="center" vertical="top"/>
    </xf>
    <xf numFmtId="0" fontId="22" fillId="43" borderId="320" xfId="0" applyFont="1" applyFill="1" applyBorder="1" applyAlignment="1">
      <alignment wrapText="1"/>
    </xf>
    <xf numFmtId="0" fontId="22" fillId="43" borderId="321" xfId="0" applyFont="1" applyFill="1" applyBorder="1" applyAlignment="1">
      <alignment wrapText="1"/>
    </xf>
    <xf numFmtId="0" fontId="22" fillId="43" borderId="322" xfId="0" applyFont="1" applyFill="1" applyBorder="1" applyAlignment="1">
      <alignment wrapText="1"/>
    </xf>
    <xf numFmtId="0" fontId="24" fillId="0" borderId="169" xfId="0" applyFont="1" applyBorder="1"/>
    <xf numFmtId="43" fontId="22" fillId="0" borderId="133" xfId="0" applyNumberFormat="1" applyFont="1" applyBorder="1" applyAlignment="1">
      <alignment horizontal="right" wrapText="1"/>
    </xf>
    <xf numFmtId="43" fontId="23" fillId="0" borderId="133" xfId="0" applyNumberFormat="1" applyFont="1" applyBorder="1" applyAlignment="1">
      <alignment horizontal="right" wrapText="1"/>
    </xf>
    <xf numFmtId="43" fontId="21" fillId="0" borderId="133" xfId="0" applyNumberFormat="1" applyFont="1" applyBorder="1" applyAlignment="1">
      <alignment horizontal="right" wrapText="1"/>
    </xf>
    <xf numFmtId="43" fontId="0" fillId="0" borderId="133" xfId="0" applyNumberFormat="1" applyBorder="1" applyAlignment="1">
      <alignment horizontal="right"/>
    </xf>
    <xf numFmtId="43" fontId="11" fillId="0" borderId="133" xfId="0" applyNumberFormat="1" applyFont="1" applyBorder="1" applyAlignment="1">
      <alignment horizontal="right"/>
    </xf>
    <xf numFmtId="2" fontId="13" fillId="26" borderId="137" xfId="0" applyNumberFormat="1" applyFont="1" applyFill="1" applyBorder="1" applyAlignment="1">
      <alignment horizontal="center" vertical="center"/>
    </xf>
    <xf numFmtId="2" fontId="13" fillId="26" borderId="49" xfId="0" applyNumberFormat="1" applyFont="1" applyFill="1" applyBorder="1" applyAlignment="1">
      <alignment horizontal="center" vertical="center"/>
    </xf>
    <xf numFmtId="0" fontId="14" fillId="0" borderId="142" xfId="0" applyFont="1" applyBorder="1" applyAlignment="1">
      <alignment horizontal="left" vertical="center" wrapText="1"/>
    </xf>
    <xf numFmtId="0" fontId="27" fillId="0" borderId="0" xfId="0" applyFont="1"/>
    <xf numFmtId="0" fontId="13" fillId="0" borderId="0" xfId="0" applyFont="1" applyAlignment="1">
      <alignment horizontal="center"/>
    </xf>
    <xf numFmtId="2" fontId="27" fillId="0" borderId="0" xfId="0" applyNumberFormat="1" applyFont="1"/>
    <xf numFmtId="2" fontId="18" fillId="25" borderId="53" xfId="0" applyNumberFormat="1" applyFont="1" applyFill="1" applyBorder="1" applyAlignment="1">
      <alignment horizontal="center" vertical="center" wrapText="1"/>
    </xf>
    <xf numFmtId="0" fontId="18" fillId="25" borderId="53" xfId="0" applyFont="1" applyFill="1" applyBorder="1" applyAlignment="1">
      <alignment horizontal="center" vertical="center" wrapText="1"/>
    </xf>
    <xf numFmtId="0" fontId="18" fillId="25" borderId="58" xfId="0" applyFont="1" applyFill="1" applyBorder="1" applyAlignment="1">
      <alignment horizontal="center" vertical="center" wrapText="1"/>
    </xf>
    <xf numFmtId="49" fontId="15" fillId="30" borderId="49" xfId="0" applyNumberFormat="1" applyFont="1" applyFill="1" applyBorder="1" applyAlignment="1">
      <alignment horizontal="center" vertical="top"/>
    </xf>
    <xf numFmtId="49" fontId="15" fillId="29" borderId="86" xfId="0" applyNumberFormat="1" applyFont="1" applyFill="1" applyBorder="1" applyAlignment="1">
      <alignment horizontal="center" vertical="top"/>
    </xf>
    <xf numFmtId="2" fontId="13" fillId="26" borderId="239" xfId="0" applyNumberFormat="1" applyFont="1" applyFill="1" applyBorder="1" applyAlignment="1">
      <alignment horizontal="center" vertical="center"/>
    </xf>
    <xf numFmtId="49" fontId="15" fillId="29" borderId="17" xfId="0" applyNumberFormat="1" applyFont="1" applyFill="1" applyBorder="1" applyAlignment="1">
      <alignment horizontal="center" vertical="top"/>
    </xf>
    <xf numFmtId="2" fontId="18" fillId="27" borderId="47" xfId="0" applyNumberFormat="1" applyFont="1" applyFill="1" applyBorder="1" applyAlignment="1">
      <alignment horizontal="center" vertical="center"/>
    </xf>
    <xf numFmtId="2" fontId="18" fillId="27" borderId="59" xfId="0" applyNumberFormat="1" applyFont="1" applyFill="1" applyBorder="1" applyAlignment="1">
      <alignment horizontal="center" vertical="center"/>
    </xf>
    <xf numFmtId="2" fontId="13" fillId="25" borderId="142" xfId="0" applyNumberFormat="1" applyFont="1" applyFill="1" applyBorder="1" applyAlignment="1">
      <alignment horizontal="center" vertical="center"/>
    </xf>
    <xf numFmtId="2" fontId="13" fillId="25" borderId="290" xfId="0" applyNumberFormat="1" applyFont="1" applyFill="1" applyBorder="1" applyAlignment="1">
      <alignment horizontal="center" vertical="center"/>
    </xf>
    <xf numFmtId="2" fontId="18" fillId="40" borderId="137" xfId="0" applyNumberFormat="1" applyFont="1" applyFill="1" applyBorder="1" applyAlignment="1">
      <alignment horizontal="center" vertical="center"/>
    </xf>
    <xf numFmtId="2" fontId="13" fillId="26" borderId="225" xfId="0" applyNumberFormat="1" applyFont="1" applyFill="1" applyBorder="1" applyAlignment="1">
      <alignment horizontal="center" vertical="center"/>
    </xf>
    <xf numFmtId="2" fontId="13" fillId="26" borderId="113" xfId="0" applyNumberFormat="1" applyFont="1" applyFill="1" applyBorder="1" applyAlignment="1">
      <alignment horizontal="center" vertical="center"/>
    </xf>
    <xf numFmtId="2" fontId="18" fillId="27" borderId="124" xfId="0" applyNumberFormat="1" applyFont="1" applyFill="1" applyBorder="1" applyAlignment="1">
      <alignment horizontal="center" vertical="center"/>
    </xf>
    <xf numFmtId="2" fontId="18" fillId="27" borderId="58" xfId="0" applyNumberFormat="1" applyFont="1" applyFill="1" applyBorder="1" applyAlignment="1">
      <alignment horizontal="center" vertical="center"/>
    </xf>
    <xf numFmtId="2" fontId="13" fillId="25" borderId="58" xfId="0" applyNumberFormat="1" applyFont="1" applyFill="1" applyBorder="1" applyAlignment="1">
      <alignment horizontal="center" vertical="center"/>
    </xf>
    <xf numFmtId="2" fontId="18" fillId="40" borderId="291" xfId="0" applyNumberFormat="1" applyFont="1" applyFill="1" applyBorder="1" applyAlignment="1">
      <alignment horizontal="center" vertical="center"/>
    </xf>
    <xf numFmtId="2" fontId="13" fillId="25" borderId="248" xfId="0" applyNumberFormat="1" applyFont="1" applyFill="1" applyBorder="1" applyAlignment="1">
      <alignment horizontal="center" vertical="center"/>
    </xf>
    <xf numFmtId="2" fontId="13" fillId="25" borderId="250" xfId="0" applyNumberFormat="1" applyFont="1" applyFill="1" applyBorder="1" applyAlignment="1">
      <alignment horizontal="center" vertical="center"/>
    </xf>
    <xf numFmtId="49" fontId="15" fillId="30" borderId="67" xfId="0" applyNumberFormat="1" applyFont="1" applyFill="1" applyBorder="1" applyAlignment="1">
      <alignment horizontal="center" vertical="top"/>
    </xf>
    <xf numFmtId="49" fontId="15" fillId="29" borderId="11" xfId="0" applyNumberFormat="1" applyFont="1" applyFill="1" applyBorder="1" applyAlignment="1">
      <alignment horizontal="center" vertical="top"/>
    </xf>
    <xf numFmtId="2" fontId="13" fillId="26" borderId="47" xfId="0" applyNumberFormat="1" applyFont="1" applyFill="1" applyBorder="1" applyAlignment="1">
      <alignment horizontal="center" vertical="center"/>
    </xf>
    <xf numFmtId="2" fontId="13" fillId="26" borderId="59" xfId="0" applyNumberFormat="1" applyFont="1" applyFill="1" applyBorder="1" applyAlignment="1">
      <alignment horizontal="center" vertical="center"/>
    </xf>
    <xf numFmtId="49" fontId="15" fillId="30" borderId="52" xfId="0" applyNumberFormat="1" applyFont="1" applyFill="1" applyBorder="1" applyAlignment="1">
      <alignment horizontal="center" vertical="top"/>
    </xf>
    <xf numFmtId="49" fontId="15" fillId="29" borderId="13" xfId="0" applyNumberFormat="1" applyFont="1" applyFill="1" applyBorder="1" applyAlignment="1">
      <alignment horizontal="center" vertical="top"/>
    </xf>
    <xf numFmtId="49" fontId="15" fillId="30" borderId="51" xfId="0" applyNumberFormat="1" applyFont="1" applyFill="1" applyBorder="1" applyAlignment="1">
      <alignment horizontal="center" vertical="top"/>
    </xf>
    <xf numFmtId="49" fontId="15" fillId="29" borderId="9" xfId="0" applyNumberFormat="1" applyFont="1" applyFill="1" applyBorder="1" applyAlignment="1">
      <alignment horizontal="center" vertical="top"/>
    </xf>
    <xf numFmtId="49" fontId="15" fillId="30" borderId="58" xfId="0" applyNumberFormat="1" applyFont="1" applyFill="1" applyBorder="1" applyAlignment="1">
      <alignment horizontal="center" vertical="top"/>
    </xf>
    <xf numFmtId="2" fontId="18" fillId="29" borderId="49" xfId="0" applyNumberFormat="1" applyFont="1" applyFill="1" applyBorder="1" applyAlignment="1">
      <alignment horizontal="center" vertical="center"/>
    </xf>
    <xf numFmtId="2" fontId="18" fillId="29" borderId="59" xfId="0" applyNumberFormat="1" applyFont="1" applyFill="1" applyBorder="1" applyAlignment="1">
      <alignment horizontal="center" vertical="center"/>
    </xf>
    <xf numFmtId="49" fontId="15" fillId="30" borderId="104" xfId="0" applyNumberFormat="1" applyFont="1" applyFill="1" applyBorder="1" applyAlignment="1">
      <alignment horizontal="center" vertical="top"/>
    </xf>
    <xf numFmtId="49" fontId="15" fillId="29" borderId="70" xfId="0" applyNumberFormat="1" applyFont="1" applyFill="1" applyBorder="1" applyAlignment="1">
      <alignment horizontal="center" vertical="top"/>
    </xf>
    <xf numFmtId="166" fontId="15" fillId="29" borderId="32" xfId="0" applyNumberFormat="1" applyFont="1" applyFill="1" applyBorder="1" applyAlignment="1">
      <alignment vertical="top"/>
    </xf>
    <xf numFmtId="166" fontId="15" fillId="29" borderId="63" xfId="0" applyNumberFormat="1" applyFont="1" applyFill="1" applyBorder="1" applyAlignment="1">
      <alignment vertical="top" wrapText="1"/>
    </xf>
    <xf numFmtId="2" fontId="15" fillId="29" borderId="63" xfId="0" applyNumberFormat="1" applyFont="1" applyFill="1" applyBorder="1" applyAlignment="1">
      <alignment vertical="center" wrapText="1"/>
    </xf>
    <xf numFmtId="166" fontId="15" fillId="29" borderId="63" xfId="0" applyNumberFormat="1" applyFont="1" applyFill="1" applyBorder="1" applyAlignment="1">
      <alignment vertical="center" wrapText="1"/>
    </xf>
    <xf numFmtId="166" fontId="15" fillId="29" borderId="182" xfId="0" applyNumberFormat="1" applyFont="1" applyFill="1" applyBorder="1" applyAlignment="1">
      <alignment vertical="center" wrapText="1"/>
    </xf>
    <xf numFmtId="49" fontId="15" fillId="30" borderId="74" xfId="0" applyNumberFormat="1" applyFont="1" applyFill="1" applyBorder="1" applyAlignment="1">
      <alignment horizontal="center" vertical="top"/>
    </xf>
    <xf numFmtId="49" fontId="15" fillId="29" borderId="58" xfId="0" applyNumberFormat="1" applyFont="1" applyFill="1" applyBorder="1" applyAlignment="1">
      <alignment horizontal="center" vertical="top"/>
    </xf>
    <xf numFmtId="49" fontId="18" fillId="30" borderId="34" xfId="0" applyNumberFormat="1" applyFont="1" applyFill="1" applyBorder="1" applyAlignment="1">
      <alignment horizontal="center" vertical="top"/>
    </xf>
    <xf numFmtId="49" fontId="18" fillId="30" borderId="76" xfId="0" applyNumberFormat="1" applyFont="1" applyFill="1" applyBorder="1" applyAlignment="1">
      <alignment horizontal="center" vertical="top"/>
    </xf>
    <xf numFmtId="49" fontId="18" fillId="30" borderId="77" xfId="0" applyNumberFormat="1" applyFont="1" applyFill="1" applyBorder="1" applyAlignment="1">
      <alignment horizontal="center" vertical="top"/>
    </xf>
    <xf numFmtId="49" fontId="18" fillId="30" borderId="77" xfId="0" applyNumberFormat="1" applyFont="1" applyFill="1" applyBorder="1" applyAlignment="1">
      <alignment horizontal="right" vertical="top"/>
    </xf>
    <xf numFmtId="2" fontId="18" fillId="30" borderId="58" xfId="0" applyNumberFormat="1" applyFont="1" applyFill="1" applyBorder="1" applyAlignment="1">
      <alignment horizontal="right" vertical="center"/>
    </xf>
    <xf numFmtId="49" fontId="15" fillId="30" borderId="94" xfId="0" applyNumberFormat="1" applyFont="1" applyFill="1" applyBorder="1" applyAlignment="1">
      <alignment horizontal="center" vertical="top"/>
    </xf>
    <xf numFmtId="49" fontId="15" fillId="30" borderId="76" xfId="0" applyNumberFormat="1" applyFont="1" applyFill="1" applyBorder="1" applyAlignment="1">
      <alignment horizontal="left" vertical="top"/>
    </xf>
    <xf numFmtId="49" fontId="15" fillId="30" borderId="63" xfId="0" applyNumberFormat="1" applyFont="1" applyFill="1" applyBorder="1" applyAlignment="1">
      <alignment horizontal="center" vertical="top"/>
    </xf>
    <xf numFmtId="2" fontId="15" fillId="30" borderId="63" xfId="0" applyNumberFormat="1" applyFont="1" applyFill="1" applyBorder="1" applyAlignment="1">
      <alignment horizontal="center" vertical="top"/>
    </xf>
    <xf numFmtId="49" fontId="15" fillId="30" borderId="105" xfId="0" applyNumberFormat="1" applyFont="1" applyFill="1" applyBorder="1" applyAlignment="1">
      <alignment horizontal="center" vertical="top"/>
    </xf>
    <xf numFmtId="49" fontId="15" fillId="29" borderId="12" xfId="0" applyNumberFormat="1" applyFont="1" applyFill="1" applyBorder="1" applyAlignment="1">
      <alignment horizontal="center" vertical="top"/>
    </xf>
    <xf numFmtId="2" fontId="18" fillId="27" borderId="125" xfId="0" applyNumberFormat="1" applyFont="1" applyFill="1" applyBorder="1" applyAlignment="1">
      <alignment horizontal="center" vertical="top"/>
    </xf>
    <xf numFmtId="2" fontId="18" fillId="27" borderId="189" xfId="0" applyNumberFormat="1" applyFont="1" applyFill="1" applyBorder="1" applyAlignment="1">
      <alignment horizontal="center" vertical="top"/>
    </xf>
    <xf numFmtId="49" fontId="18" fillId="29" borderId="70" xfId="0" applyNumberFormat="1" applyFont="1" applyFill="1" applyBorder="1" applyAlignment="1">
      <alignment horizontal="center" vertical="top"/>
    </xf>
    <xf numFmtId="49" fontId="18" fillId="30" borderId="49" xfId="0" applyNumberFormat="1" applyFont="1" applyFill="1" applyBorder="1" applyAlignment="1">
      <alignment horizontal="center" vertical="top"/>
    </xf>
    <xf numFmtId="49" fontId="18" fillId="29" borderId="49" xfId="0" applyNumberFormat="1" applyFont="1" applyFill="1" applyBorder="1" applyAlignment="1">
      <alignment horizontal="center" vertical="top"/>
    </xf>
    <xf numFmtId="49" fontId="18" fillId="30" borderId="59" xfId="0" applyNumberFormat="1" applyFont="1" applyFill="1" applyBorder="1" applyAlignment="1">
      <alignment horizontal="center" vertical="top"/>
    </xf>
    <xf numFmtId="49" fontId="18" fillId="29" borderId="33" xfId="0" applyNumberFormat="1" applyFont="1" applyFill="1" applyBorder="1" applyAlignment="1">
      <alignment horizontal="center" vertical="top"/>
    </xf>
    <xf numFmtId="49" fontId="18" fillId="29" borderId="34" xfId="0" applyNumberFormat="1" applyFont="1" applyFill="1" applyBorder="1" applyAlignment="1">
      <alignment horizontal="center" vertical="top"/>
    </xf>
    <xf numFmtId="166" fontId="18" fillId="27" borderId="190" xfId="0" applyNumberFormat="1" applyFont="1" applyFill="1" applyBorder="1" applyAlignment="1">
      <alignment horizontal="center" vertical="center"/>
    </xf>
    <xf numFmtId="2" fontId="18" fillId="27" borderId="191" xfId="0" applyNumberFormat="1" applyFont="1" applyFill="1" applyBorder="1" applyAlignment="1">
      <alignment horizontal="center" vertical="center"/>
    </xf>
    <xf numFmtId="2" fontId="18" fillId="27" borderId="298" xfId="0" applyNumberFormat="1" applyFont="1" applyFill="1" applyBorder="1" applyAlignment="1">
      <alignment horizontal="center" vertical="center"/>
    </xf>
    <xf numFmtId="49" fontId="18" fillId="29" borderId="58" xfId="0" applyNumberFormat="1" applyFont="1" applyFill="1" applyBorder="1" applyAlignment="1">
      <alignment horizontal="center" vertical="top"/>
    </xf>
    <xf numFmtId="49" fontId="18" fillId="29" borderId="64" xfId="0" applyNumberFormat="1" applyFont="1" applyFill="1" applyBorder="1" applyAlignment="1">
      <alignment horizontal="center" vertical="top"/>
    </xf>
    <xf numFmtId="49" fontId="18" fillId="29" borderId="64" xfId="0" applyNumberFormat="1" applyFont="1" applyFill="1" applyBorder="1" applyAlignment="1">
      <alignment horizontal="right" vertical="top"/>
    </xf>
    <xf numFmtId="49" fontId="18" fillId="30" borderId="58" xfId="0" applyNumberFormat="1" applyFont="1" applyFill="1" applyBorder="1" applyAlignment="1">
      <alignment horizontal="center" vertical="top"/>
    </xf>
    <xf numFmtId="49" fontId="18" fillId="29" borderId="77" xfId="0" applyNumberFormat="1" applyFont="1" applyFill="1" applyBorder="1" applyAlignment="1">
      <alignment horizontal="center" vertical="top"/>
    </xf>
    <xf numFmtId="49" fontId="18" fillId="29" borderId="77" xfId="0" applyNumberFormat="1" applyFont="1" applyFill="1" applyBorder="1" applyAlignment="1">
      <alignment horizontal="left" vertical="top"/>
    </xf>
    <xf numFmtId="49" fontId="18" fillId="29" borderId="63" xfId="0" applyNumberFormat="1" applyFont="1" applyFill="1" applyBorder="1" applyAlignment="1">
      <alignment horizontal="center" vertical="top"/>
    </xf>
    <xf numFmtId="2" fontId="18" fillId="29" borderId="63" xfId="0" applyNumberFormat="1" applyFont="1" applyFill="1" applyBorder="1" applyAlignment="1">
      <alignment horizontal="center" vertical="top"/>
    </xf>
    <xf numFmtId="49" fontId="18" fillId="29" borderId="105" xfId="0" applyNumberFormat="1" applyFont="1" applyFill="1" applyBorder="1" applyAlignment="1">
      <alignment horizontal="center" vertical="top"/>
    </xf>
    <xf numFmtId="166" fontId="13" fillId="0" borderId="50" xfId="0" applyNumberFormat="1" applyFont="1" applyBorder="1" applyAlignment="1">
      <alignment horizontal="center" vertical="center"/>
    </xf>
    <xf numFmtId="2" fontId="13" fillId="0" borderId="37" xfId="0" applyNumberFormat="1" applyFont="1" applyBorder="1" applyAlignment="1">
      <alignment horizontal="center" vertical="center"/>
    </xf>
    <xf numFmtId="49" fontId="18" fillId="29" borderId="0" xfId="0" applyNumberFormat="1" applyFont="1" applyFill="1" applyAlignment="1">
      <alignment horizontal="center" vertical="top"/>
    </xf>
    <xf numFmtId="49" fontId="18" fillId="29" borderId="0" xfId="0" applyNumberFormat="1" applyFont="1" applyFill="1" applyAlignment="1">
      <alignment horizontal="right" vertical="top"/>
    </xf>
    <xf numFmtId="2" fontId="18" fillId="29" borderId="59" xfId="0" applyNumberFormat="1" applyFont="1" applyFill="1" applyBorder="1" applyAlignment="1">
      <alignment horizontal="center" vertical="top"/>
    </xf>
    <xf numFmtId="2" fontId="18" fillId="30" borderId="58" xfId="0" applyNumberFormat="1" applyFont="1" applyFill="1" applyBorder="1" applyAlignment="1">
      <alignment horizontal="center" vertical="center"/>
    </xf>
    <xf numFmtId="49" fontId="18" fillId="29" borderId="76" xfId="0" applyNumberFormat="1" applyFont="1" applyFill="1" applyBorder="1" applyAlignment="1">
      <alignment horizontal="left" vertical="top"/>
    </xf>
    <xf numFmtId="49" fontId="18" fillId="29" borderId="63" xfId="0" applyNumberFormat="1" applyFont="1" applyFill="1" applyBorder="1" applyAlignment="1">
      <alignment horizontal="left" vertical="top"/>
    </xf>
    <xf numFmtId="49" fontId="18" fillId="29" borderId="105" xfId="0" applyNumberFormat="1" applyFont="1" applyFill="1" applyBorder="1" applyAlignment="1">
      <alignment horizontal="left" vertical="top"/>
    </xf>
    <xf numFmtId="2" fontId="13" fillId="26" borderId="30" xfId="0" applyNumberFormat="1" applyFont="1" applyFill="1" applyBorder="1" applyAlignment="1">
      <alignment horizontal="center" vertical="top"/>
    </xf>
    <xf numFmtId="49" fontId="18" fillId="29" borderId="86" xfId="0" applyNumberFormat="1" applyFont="1" applyFill="1" applyBorder="1" applyAlignment="1">
      <alignment horizontal="right" vertical="top"/>
    </xf>
    <xf numFmtId="49" fontId="18" fillId="30" borderId="77" xfId="0" applyNumberFormat="1" applyFont="1" applyFill="1" applyBorder="1" applyAlignment="1">
      <alignment horizontal="left" vertical="top"/>
    </xf>
    <xf numFmtId="2" fontId="18" fillId="30" borderId="77" xfId="0" applyNumberFormat="1" applyFont="1" applyFill="1" applyBorder="1" applyAlignment="1">
      <alignment horizontal="center" vertical="top"/>
    </xf>
    <xf numFmtId="49" fontId="18" fillId="30" borderId="65" xfId="0" applyNumberFormat="1" applyFont="1" applyFill="1" applyBorder="1" applyAlignment="1">
      <alignment horizontal="center" vertical="top"/>
    </xf>
    <xf numFmtId="2" fontId="18" fillId="29" borderId="63" xfId="0" applyNumberFormat="1" applyFont="1" applyFill="1" applyBorder="1" applyAlignment="1">
      <alignment horizontal="left" vertical="top"/>
    </xf>
    <xf numFmtId="49" fontId="18" fillId="29" borderId="59" xfId="0" applyNumberFormat="1" applyFont="1" applyFill="1" applyBorder="1" applyAlignment="1">
      <alignment horizontal="center" vertical="top"/>
    </xf>
    <xf numFmtId="2" fontId="18" fillId="27" borderId="49" xfId="0" applyNumberFormat="1" applyFont="1" applyFill="1" applyBorder="1" applyAlignment="1">
      <alignment horizontal="center" vertical="top"/>
    </xf>
    <xf numFmtId="49" fontId="18" fillId="29" borderId="65" xfId="0" applyNumberFormat="1" applyFont="1" applyFill="1" applyBorder="1" applyAlignment="1">
      <alignment horizontal="center" vertical="top"/>
    </xf>
    <xf numFmtId="49" fontId="18" fillId="29" borderId="64" xfId="0" applyNumberFormat="1" applyFont="1" applyFill="1" applyBorder="1" applyAlignment="1">
      <alignment horizontal="left" vertical="top"/>
    </xf>
    <xf numFmtId="2" fontId="18" fillId="29" borderId="58" xfId="0" applyNumberFormat="1" applyFont="1" applyFill="1" applyBorder="1" applyAlignment="1">
      <alignment horizontal="center" vertical="center"/>
    </xf>
    <xf numFmtId="49" fontId="18" fillId="31" borderId="71" xfId="0" applyNumberFormat="1" applyFont="1" applyFill="1" applyBorder="1" applyAlignment="1">
      <alignment horizontal="center" vertical="top"/>
    </xf>
    <xf numFmtId="2" fontId="18" fillId="31" borderId="44" xfId="0" applyNumberFormat="1" applyFont="1" applyFill="1" applyBorder="1" applyAlignment="1">
      <alignment horizontal="center" vertical="top"/>
    </xf>
    <xf numFmtId="2" fontId="18" fillId="31" borderId="98" xfId="0" applyNumberFormat="1" applyFont="1" applyFill="1" applyBorder="1" applyAlignment="1">
      <alignment horizontal="center" vertical="top"/>
    </xf>
    <xf numFmtId="0" fontId="30" fillId="0" borderId="0" xfId="35" applyFont="1" applyAlignment="1">
      <alignment horizontal="left"/>
    </xf>
    <xf numFmtId="49" fontId="18" fillId="0" borderId="0" xfId="0" applyNumberFormat="1" applyFont="1" applyAlignment="1">
      <alignment horizontal="right" vertical="top"/>
    </xf>
    <xf numFmtId="49" fontId="18" fillId="0" borderId="0" xfId="0" applyNumberFormat="1" applyFont="1" applyAlignment="1">
      <alignment horizontal="center" vertical="top"/>
    </xf>
    <xf numFmtId="165" fontId="31" fillId="0" borderId="0" xfId="0" applyNumberFormat="1" applyFont="1"/>
    <xf numFmtId="0" fontId="13" fillId="0" borderId="0" xfId="0" applyFont="1" applyAlignment="1">
      <alignment vertical="top"/>
    </xf>
    <xf numFmtId="0" fontId="18" fillId="0" borderId="0" xfId="0" applyFont="1" applyAlignment="1">
      <alignment horizontal="right" vertical="top" wrapText="1"/>
    </xf>
    <xf numFmtId="0" fontId="13" fillId="0" borderId="0" xfId="0" applyFont="1" applyAlignment="1">
      <alignment vertical="top" wrapText="1"/>
    </xf>
    <xf numFmtId="49" fontId="13" fillId="0" borderId="0" xfId="0" applyNumberFormat="1" applyFont="1" applyAlignment="1">
      <alignment horizontal="right" vertical="top"/>
    </xf>
    <xf numFmtId="2" fontId="18" fillId="28" borderId="77" xfId="0" applyNumberFormat="1" applyFont="1" applyFill="1" applyBorder="1" applyAlignment="1">
      <alignment horizontal="center" vertical="center" wrapText="1"/>
    </xf>
    <xf numFmtId="0" fontId="18" fillId="28" borderId="77" xfId="0" applyFont="1" applyFill="1" applyBorder="1" applyAlignment="1">
      <alignment horizontal="center" vertical="center" wrapText="1"/>
    </xf>
    <xf numFmtId="0" fontId="18" fillId="28" borderId="65" xfId="0" applyFont="1" applyFill="1" applyBorder="1" applyAlignment="1">
      <alignment horizontal="center" vertical="center" wrapText="1"/>
    </xf>
    <xf numFmtId="2" fontId="18" fillId="28" borderId="59" xfId="0" applyNumberFormat="1" applyFont="1" applyFill="1" applyBorder="1" applyAlignment="1">
      <alignment horizontal="center"/>
    </xf>
    <xf numFmtId="166" fontId="18" fillId="28" borderId="59" xfId="0" applyNumberFormat="1" applyFont="1" applyFill="1" applyBorder="1" applyAlignment="1">
      <alignment horizontal="center"/>
    </xf>
    <xf numFmtId="2" fontId="18" fillId="32" borderId="58" xfId="0" applyNumberFormat="1" applyFont="1" applyFill="1" applyBorder="1" applyAlignment="1">
      <alignment horizontal="center"/>
    </xf>
    <xf numFmtId="2" fontId="18" fillId="38" borderId="37" xfId="0" applyNumberFormat="1" applyFont="1" applyFill="1" applyBorder="1" applyAlignment="1">
      <alignment horizontal="center"/>
    </xf>
    <xf numFmtId="2" fontId="13" fillId="0" borderId="81" xfId="0" applyNumberFormat="1" applyFont="1" applyBorder="1" applyAlignment="1">
      <alignment horizontal="center"/>
    </xf>
    <xf numFmtId="2" fontId="13" fillId="0" borderId="323" xfId="0" applyNumberFormat="1" applyFont="1" applyBorder="1" applyAlignment="1">
      <alignment horizontal="center"/>
    </xf>
    <xf numFmtId="166" fontId="18" fillId="32" borderId="58" xfId="0" applyNumberFormat="1" applyFont="1" applyFill="1" applyBorder="1" applyAlignment="1">
      <alignment horizontal="center"/>
    </xf>
    <xf numFmtId="166" fontId="18" fillId="32" borderId="65" xfId="0" applyNumberFormat="1" applyFont="1" applyFill="1" applyBorder="1" applyAlignment="1">
      <alignment horizontal="center"/>
    </xf>
    <xf numFmtId="2" fontId="13" fillId="0" borderId="58" xfId="0" applyNumberFormat="1" applyFont="1" applyBorder="1" applyAlignment="1">
      <alignment horizontal="center"/>
    </xf>
    <xf numFmtId="166" fontId="13" fillId="0" borderId="58" xfId="0" applyNumberFormat="1" applyFont="1" applyBorder="1" applyAlignment="1">
      <alignment horizontal="center"/>
    </xf>
    <xf numFmtId="166" fontId="13" fillId="0" borderId="65" xfId="0" applyNumberFormat="1" applyFont="1" applyBorder="1" applyAlignment="1">
      <alignment horizontal="center"/>
    </xf>
    <xf numFmtId="2" fontId="13" fillId="0" borderId="37" xfId="0" applyNumberFormat="1" applyFont="1" applyBorder="1" applyAlignment="1">
      <alignment horizontal="center"/>
    </xf>
    <xf numFmtId="166" fontId="13" fillId="0" borderId="37" xfId="0" applyNumberFormat="1" applyFont="1" applyBorder="1" applyAlignment="1">
      <alignment horizontal="center"/>
    </xf>
    <xf numFmtId="166" fontId="13" fillId="0" borderId="88" xfId="0" applyNumberFormat="1" applyFont="1" applyBorder="1" applyAlignment="1">
      <alignment horizontal="center"/>
    </xf>
    <xf numFmtId="2" fontId="18" fillId="28" borderId="58" xfId="0" applyNumberFormat="1" applyFont="1" applyFill="1" applyBorder="1" applyAlignment="1">
      <alignment horizontal="center"/>
    </xf>
    <xf numFmtId="0" fontId="27" fillId="0" borderId="0" xfId="0" applyFont="1" applyAlignment="1">
      <alignment horizontal="center"/>
    </xf>
    <xf numFmtId="2" fontId="13" fillId="0" borderId="0" xfId="0" applyNumberFormat="1" applyFont="1"/>
    <xf numFmtId="14" fontId="13" fillId="0" borderId="0" xfId="0" applyNumberFormat="1" applyFont="1"/>
    <xf numFmtId="0" fontId="18" fillId="31" borderId="231" xfId="0" applyFont="1" applyFill="1" applyBorder="1" applyAlignment="1">
      <alignment vertical="top"/>
    </xf>
    <xf numFmtId="0" fontId="18" fillId="31" borderId="176" xfId="0" applyFont="1" applyFill="1" applyBorder="1" applyAlignment="1">
      <alignment vertical="top" wrapText="1"/>
    </xf>
    <xf numFmtId="2" fontId="18" fillId="31" borderId="176" xfId="0" applyNumberFormat="1" applyFont="1" applyFill="1" applyBorder="1" applyAlignment="1">
      <alignment vertical="top" wrapText="1"/>
    </xf>
    <xf numFmtId="0" fontId="18" fillId="31" borderId="261" xfId="0" applyFont="1" applyFill="1" applyBorder="1" applyAlignment="1">
      <alignment vertical="top" wrapText="1"/>
    </xf>
    <xf numFmtId="0" fontId="18" fillId="30" borderId="34" xfId="0" applyFont="1" applyFill="1" applyBorder="1" applyAlignment="1">
      <alignment vertical="top"/>
    </xf>
    <xf numFmtId="0" fontId="18" fillId="30" borderId="0" xfId="0" applyFont="1" applyFill="1" applyAlignment="1">
      <alignment vertical="top"/>
    </xf>
    <xf numFmtId="2" fontId="18" fillId="30" borderId="0" xfId="0" applyNumberFormat="1" applyFont="1" applyFill="1" applyAlignment="1">
      <alignment vertical="top"/>
    </xf>
    <xf numFmtId="0" fontId="18" fillId="30" borderId="54" xfId="0" applyFont="1" applyFill="1" applyBorder="1" applyAlignment="1">
      <alignment vertical="top"/>
    </xf>
    <xf numFmtId="49" fontId="18" fillId="30" borderId="130" xfId="0" applyNumberFormat="1" applyFont="1" applyFill="1" applyBorder="1" applyAlignment="1">
      <alignment horizontal="center" vertical="top"/>
    </xf>
    <xf numFmtId="49" fontId="18" fillId="29" borderId="173" xfId="0" applyNumberFormat="1" applyFont="1" applyFill="1" applyBorder="1" applyAlignment="1">
      <alignment horizontal="center" vertical="top"/>
    </xf>
    <xf numFmtId="49" fontId="17" fillId="30" borderId="59" xfId="0" applyNumberFormat="1" applyFont="1" applyFill="1" applyBorder="1" applyAlignment="1">
      <alignment horizontal="center" vertical="top"/>
    </xf>
    <xf numFmtId="0" fontId="14" fillId="0" borderId="184" xfId="0" applyFont="1" applyBorder="1" applyAlignment="1">
      <alignment horizontal="left" vertical="center" wrapText="1"/>
    </xf>
    <xf numFmtId="0" fontId="14" fillId="0" borderId="143" xfId="0" applyFont="1" applyBorder="1" applyAlignment="1">
      <alignment horizontal="left" vertical="center" wrapText="1"/>
    </xf>
    <xf numFmtId="0" fontId="14" fillId="0" borderId="150" xfId="0" applyFont="1" applyBorder="1" applyAlignment="1">
      <alignment horizontal="left" vertical="center" wrapText="1"/>
    </xf>
    <xf numFmtId="0" fontId="14" fillId="0" borderId="155" xfId="0" applyFont="1" applyBorder="1" applyAlignment="1">
      <alignment horizontal="left" vertical="center" wrapText="1"/>
    </xf>
    <xf numFmtId="49" fontId="17" fillId="30" borderId="49" xfId="0" applyNumberFormat="1" applyFont="1" applyFill="1" applyBorder="1" applyAlignment="1">
      <alignment horizontal="center" vertical="top"/>
    </xf>
    <xf numFmtId="49" fontId="17" fillId="29" borderId="49" xfId="0" applyNumberFormat="1" applyFont="1" applyFill="1" applyBorder="1" applyAlignment="1">
      <alignment horizontal="center" vertical="top"/>
    </xf>
    <xf numFmtId="49" fontId="17" fillId="30" borderId="58" xfId="0" applyNumberFormat="1" applyFont="1" applyFill="1" applyBorder="1" applyAlignment="1">
      <alignment horizontal="center" vertical="top"/>
    </xf>
    <xf numFmtId="49" fontId="17" fillId="29" borderId="76" xfId="0" applyNumberFormat="1" applyFont="1" applyFill="1" applyBorder="1" applyAlignment="1">
      <alignment horizontal="center" vertical="top"/>
    </xf>
    <xf numFmtId="49" fontId="17" fillId="29" borderId="33" xfId="0" applyNumberFormat="1" applyFont="1" applyFill="1" applyBorder="1" applyAlignment="1">
      <alignment horizontal="center" vertical="top"/>
    </xf>
    <xf numFmtId="2" fontId="13" fillId="26" borderId="253" xfId="0" applyNumberFormat="1" applyFont="1" applyFill="1" applyBorder="1" applyAlignment="1">
      <alignment horizontal="center" vertical="top"/>
    </xf>
    <xf numFmtId="49" fontId="13" fillId="0" borderId="0" xfId="0" applyNumberFormat="1" applyFont="1" applyAlignment="1">
      <alignment horizontal="center" vertical="top"/>
    </xf>
    <xf numFmtId="2" fontId="18" fillId="27" borderId="231" xfId="0" applyNumberFormat="1" applyFont="1" applyFill="1" applyBorder="1" applyAlignment="1">
      <alignment horizontal="center" vertical="top"/>
    </xf>
    <xf numFmtId="49" fontId="17" fillId="29" borderId="0" xfId="0" applyNumberFormat="1" applyFont="1" applyFill="1" applyAlignment="1">
      <alignment horizontal="center" vertical="top"/>
    </xf>
    <xf numFmtId="49" fontId="17" fillId="41" borderId="70" xfId="0" applyNumberFormat="1" applyFont="1" applyFill="1" applyBorder="1" applyAlignment="1">
      <alignment horizontal="center" vertical="top"/>
    </xf>
    <xf numFmtId="49" fontId="32" fillId="29" borderId="49" xfId="0" applyNumberFormat="1" applyFont="1" applyFill="1" applyBorder="1" applyAlignment="1">
      <alignment horizontal="center" vertical="top"/>
    </xf>
    <xf numFmtId="49" fontId="32" fillId="29" borderId="76" xfId="0" applyNumberFormat="1" applyFont="1" applyFill="1" applyBorder="1" applyAlignment="1">
      <alignment horizontal="left" vertical="top"/>
    </xf>
    <xf numFmtId="49" fontId="32" fillId="29" borderId="77" xfId="0" applyNumberFormat="1" applyFont="1" applyFill="1" applyBorder="1" applyAlignment="1">
      <alignment horizontal="center" vertical="top"/>
    </xf>
    <xf numFmtId="49" fontId="17" fillId="29" borderId="76" xfId="0" applyNumberFormat="1" applyFont="1" applyFill="1" applyBorder="1" applyAlignment="1">
      <alignment horizontal="left" vertical="top"/>
    </xf>
    <xf numFmtId="2" fontId="18" fillId="29" borderId="19" xfId="0" applyNumberFormat="1" applyFont="1" applyFill="1" applyBorder="1" applyAlignment="1">
      <alignment horizontal="center" vertical="top"/>
    </xf>
    <xf numFmtId="2" fontId="18" fillId="29" borderId="10" xfId="0" applyNumberFormat="1" applyFont="1" applyFill="1" applyBorder="1" applyAlignment="1">
      <alignment horizontal="center" vertical="top"/>
    </xf>
    <xf numFmtId="2" fontId="18" fillId="29" borderId="127" xfId="0" applyNumberFormat="1" applyFont="1" applyFill="1" applyBorder="1" applyAlignment="1">
      <alignment horizontal="center" vertical="top"/>
    </xf>
    <xf numFmtId="49" fontId="18" fillId="30" borderId="65" xfId="0" applyNumberFormat="1" applyFont="1" applyFill="1" applyBorder="1" applyAlignment="1">
      <alignment horizontal="right" vertical="top"/>
    </xf>
    <xf numFmtId="2" fontId="18" fillId="30" borderId="58" xfId="0" applyNumberFormat="1" applyFont="1" applyFill="1" applyBorder="1" applyAlignment="1">
      <alignment horizontal="center" vertical="top"/>
    </xf>
    <xf numFmtId="2" fontId="18" fillId="30" borderId="76" xfId="0" applyNumberFormat="1" applyFont="1" applyFill="1" applyBorder="1" applyAlignment="1">
      <alignment horizontal="center" vertical="top"/>
    </xf>
    <xf numFmtId="2" fontId="18" fillId="30" borderId="284" xfId="0" applyNumberFormat="1" applyFont="1" applyFill="1" applyBorder="1" applyAlignment="1">
      <alignment horizontal="center" vertical="top"/>
    </xf>
    <xf numFmtId="49" fontId="18" fillId="30" borderId="33" xfId="0" applyNumberFormat="1" applyFont="1" applyFill="1" applyBorder="1" applyAlignment="1">
      <alignment horizontal="center" vertical="top"/>
    </xf>
    <xf numFmtId="49" fontId="18" fillId="30" borderId="0" xfId="0" applyNumberFormat="1" applyFont="1" applyFill="1" applyAlignment="1">
      <alignment horizontal="center" vertical="top"/>
    </xf>
    <xf numFmtId="49" fontId="17" fillId="29" borderId="58" xfId="0" applyNumberFormat="1" applyFont="1" applyFill="1" applyBorder="1" applyAlignment="1">
      <alignment horizontal="center" vertical="top"/>
    </xf>
    <xf numFmtId="49" fontId="17" fillId="29" borderId="32" xfId="0" applyNumberFormat="1" applyFont="1" applyFill="1" applyBorder="1" applyAlignment="1">
      <alignment horizontal="left" vertical="top"/>
    </xf>
    <xf numFmtId="2" fontId="18" fillId="27" borderId="59" xfId="0" applyNumberFormat="1" applyFont="1" applyFill="1" applyBorder="1" applyAlignment="1">
      <alignment horizontal="center" vertical="top"/>
    </xf>
    <xf numFmtId="49" fontId="17" fillId="30" borderId="171" xfId="0" applyNumberFormat="1" applyFont="1" applyFill="1" applyBorder="1" applyAlignment="1">
      <alignment horizontal="center" vertical="top"/>
    </xf>
    <xf numFmtId="49" fontId="17" fillId="29" borderId="122" xfId="0" applyNumberFormat="1" applyFont="1" applyFill="1" applyBorder="1" applyAlignment="1">
      <alignment horizontal="center" vertical="top"/>
    </xf>
    <xf numFmtId="2" fontId="18" fillId="29" borderId="182" xfId="0" applyNumberFormat="1" applyFont="1" applyFill="1" applyBorder="1" applyAlignment="1">
      <alignment horizontal="center" vertical="top"/>
    </xf>
    <xf numFmtId="49" fontId="17" fillId="29" borderId="54" xfId="0" applyNumberFormat="1" applyFont="1" applyFill="1" applyBorder="1" applyAlignment="1">
      <alignment horizontal="center" vertical="top"/>
    </xf>
    <xf numFmtId="0" fontId="18" fillId="27" borderId="182" xfId="0" applyFont="1" applyFill="1" applyBorder="1" applyAlignment="1">
      <alignment horizontal="center" vertical="top"/>
    </xf>
    <xf numFmtId="49" fontId="18" fillId="31" borderId="98" xfId="0" applyNumberFormat="1" applyFont="1" applyFill="1" applyBorder="1" applyAlignment="1">
      <alignment horizontal="center" vertical="top"/>
    </xf>
    <xf numFmtId="49" fontId="18" fillId="0" borderId="0" xfId="0" applyNumberFormat="1" applyFont="1" applyAlignment="1">
      <alignment vertical="top"/>
    </xf>
    <xf numFmtId="0" fontId="13" fillId="0" borderId="0" xfId="0" applyFont="1" applyAlignment="1">
      <alignment horizontal="right" vertical="top" wrapText="1"/>
    </xf>
    <xf numFmtId="2" fontId="18" fillId="32" borderId="65" xfId="0" applyNumberFormat="1" applyFont="1" applyFill="1" applyBorder="1" applyAlignment="1">
      <alignment horizontal="center"/>
    </xf>
    <xf numFmtId="2" fontId="13" fillId="0" borderId="65" xfId="0" applyNumberFormat="1" applyFont="1" applyBorder="1" applyAlignment="1">
      <alignment horizontal="center"/>
    </xf>
    <xf numFmtId="2" fontId="13" fillId="0" borderId="88" xfId="0" applyNumberFormat="1" applyFont="1" applyBorder="1" applyAlignment="1">
      <alignment horizontal="center"/>
    </xf>
    <xf numFmtId="0" fontId="13" fillId="0" borderId="0" xfId="0" applyFont="1"/>
    <xf numFmtId="0" fontId="13" fillId="0" borderId="0" xfId="0" applyFont="1" applyAlignment="1">
      <alignment horizontal="center" vertical="top" wrapText="1"/>
    </xf>
    <xf numFmtId="0" fontId="18" fillId="0" borderId="53" xfId="0" applyFont="1" applyBorder="1" applyAlignment="1">
      <alignment horizontal="center" vertical="center" wrapText="1"/>
    </xf>
    <xf numFmtId="0" fontId="18" fillId="31" borderId="76" xfId="0" applyFont="1" applyFill="1" applyBorder="1" applyAlignment="1">
      <alignment vertical="top"/>
    </xf>
    <xf numFmtId="0" fontId="18" fillId="31" borderId="77" xfId="0" applyFont="1" applyFill="1" applyBorder="1" applyAlignment="1">
      <alignment vertical="top" wrapText="1"/>
    </xf>
    <xf numFmtId="0" fontId="18" fillId="31" borderId="65" xfId="0" applyFont="1" applyFill="1" applyBorder="1" applyAlignment="1">
      <alignment vertical="top" wrapText="1"/>
    </xf>
    <xf numFmtId="0" fontId="18" fillId="30" borderId="76" xfId="0" applyFont="1" applyFill="1" applyBorder="1" applyAlignment="1">
      <alignment horizontal="left" vertical="top"/>
    </xf>
    <xf numFmtId="0" fontId="18" fillId="30" borderId="63" xfId="0" applyFont="1" applyFill="1" applyBorder="1" applyAlignment="1">
      <alignment horizontal="left" vertical="top"/>
    </xf>
    <xf numFmtId="0" fontId="18" fillId="30" borderId="105" xfId="0" applyFont="1" applyFill="1" applyBorder="1" applyAlignment="1">
      <alignment horizontal="center" vertical="top"/>
    </xf>
    <xf numFmtId="0" fontId="18" fillId="29" borderId="76" xfId="0" applyFont="1" applyFill="1" applyBorder="1" applyAlignment="1">
      <alignment vertical="top"/>
    </xf>
    <xf numFmtId="0" fontId="18" fillId="29" borderId="77" xfId="0" applyFont="1" applyFill="1" applyBorder="1" applyAlignment="1">
      <alignment vertical="top" wrapText="1"/>
    </xf>
    <xf numFmtId="0" fontId="18" fillId="29" borderId="105" xfId="0" applyFont="1" applyFill="1" applyBorder="1" applyAlignment="1">
      <alignment vertical="top" wrapText="1"/>
    </xf>
    <xf numFmtId="0" fontId="13" fillId="25" borderId="113" xfId="0" applyFont="1" applyFill="1" applyBorder="1" applyAlignment="1">
      <alignment horizontal="center" vertical="center"/>
    </xf>
    <xf numFmtId="0" fontId="13" fillId="0" borderId="114" xfId="0" applyFont="1" applyBorder="1" applyAlignment="1">
      <alignment horizontal="center" vertical="center"/>
    </xf>
    <xf numFmtId="0" fontId="18" fillId="27" borderId="136" xfId="0" applyFont="1" applyFill="1" applyBorder="1" applyAlignment="1">
      <alignment horizontal="center" vertical="center"/>
    </xf>
    <xf numFmtId="2" fontId="18" fillId="27" borderId="185" xfId="0" applyNumberFormat="1" applyFont="1" applyFill="1" applyBorder="1" applyAlignment="1">
      <alignment horizontal="center" vertical="center"/>
    </xf>
    <xf numFmtId="2" fontId="18" fillId="27" borderId="171" xfId="0" applyNumberFormat="1" applyFont="1" applyFill="1" applyBorder="1" applyAlignment="1">
      <alignment horizontal="center" vertical="center"/>
    </xf>
    <xf numFmtId="0" fontId="18" fillId="27" borderId="128" xfId="0" applyFont="1" applyFill="1" applyBorder="1" applyAlignment="1">
      <alignment horizontal="center" vertical="center"/>
    </xf>
    <xf numFmtId="0" fontId="18" fillId="27" borderId="182" xfId="0" applyFont="1" applyFill="1" applyBorder="1" applyAlignment="1">
      <alignment horizontal="center" vertical="center"/>
    </xf>
    <xf numFmtId="49" fontId="18" fillId="30" borderId="208" xfId="0" applyNumberFormat="1" applyFont="1" applyFill="1" applyBorder="1" applyAlignment="1">
      <alignment horizontal="center" vertical="top"/>
    </xf>
    <xf numFmtId="49" fontId="18" fillId="29" borderId="136" xfId="0" applyNumberFormat="1" applyFont="1" applyFill="1" applyBorder="1" applyAlignment="1">
      <alignment horizontal="center" vertical="top"/>
    </xf>
    <xf numFmtId="49" fontId="18" fillId="30" borderId="129" xfId="0" applyNumberFormat="1" applyFont="1" applyFill="1" applyBorder="1" applyAlignment="1">
      <alignment horizontal="center" vertical="top"/>
    </xf>
    <xf numFmtId="49" fontId="18" fillId="29" borderId="138" xfId="0" applyNumberFormat="1" applyFont="1" applyFill="1" applyBorder="1" applyAlignment="1">
      <alignment horizontal="center" vertical="top"/>
    </xf>
    <xf numFmtId="0" fontId="18" fillId="27" borderId="194" xfId="0" applyFont="1" applyFill="1" applyBorder="1" applyAlignment="1">
      <alignment horizontal="center" vertical="top"/>
    </xf>
    <xf numFmtId="2" fontId="18" fillId="27" borderId="185" xfId="0" applyNumberFormat="1" applyFont="1" applyFill="1" applyBorder="1" applyAlignment="1">
      <alignment horizontal="center" vertical="top"/>
    </xf>
    <xf numFmtId="2" fontId="18" fillId="27" borderId="58" xfId="0" applyNumberFormat="1" applyFont="1" applyFill="1" applyBorder="1" applyAlignment="1">
      <alignment horizontal="center" vertical="top"/>
    </xf>
    <xf numFmtId="49" fontId="18" fillId="29" borderId="122" xfId="0" applyNumberFormat="1" applyFont="1" applyFill="1" applyBorder="1" applyAlignment="1">
      <alignment horizontal="right" vertical="top"/>
    </xf>
    <xf numFmtId="2" fontId="18" fillId="29" borderId="185" xfId="0" applyNumberFormat="1" applyFont="1" applyFill="1" applyBorder="1" applyAlignment="1">
      <alignment horizontal="center" vertical="top"/>
    </xf>
    <xf numFmtId="2" fontId="18" fillId="29" borderId="171" xfId="0" applyNumberFormat="1" applyFont="1" applyFill="1" applyBorder="1" applyAlignment="1">
      <alignment horizontal="center" vertical="top"/>
    </xf>
    <xf numFmtId="49" fontId="18" fillId="29" borderId="76" xfId="0" applyNumberFormat="1" applyFont="1" applyFill="1" applyBorder="1" applyAlignment="1">
      <alignment horizontal="center" vertical="top"/>
    </xf>
    <xf numFmtId="165" fontId="18" fillId="29" borderId="138" xfId="0" applyNumberFormat="1" applyFont="1" applyFill="1" applyBorder="1" applyAlignment="1">
      <alignment vertical="top"/>
    </xf>
    <xf numFmtId="165" fontId="18" fillId="29" borderId="156" xfId="0" applyNumberFormat="1" applyFont="1" applyFill="1" applyBorder="1" applyAlignment="1">
      <alignment vertical="top" wrapText="1"/>
    </xf>
    <xf numFmtId="165" fontId="18" fillId="29" borderId="0" xfId="0" applyNumberFormat="1" applyFont="1" applyFill="1" applyAlignment="1">
      <alignment vertical="top" wrapText="1"/>
    </xf>
    <xf numFmtId="165" fontId="18" fillId="29" borderId="174" xfId="0" applyNumberFormat="1" applyFont="1" applyFill="1" applyBorder="1" applyAlignment="1">
      <alignment vertical="top" wrapText="1"/>
    </xf>
    <xf numFmtId="165" fontId="18" fillId="29" borderId="63" xfId="0" applyNumberFormat="1" applyFont="1" applyFill="1" applyBorder="1" applyAlignment="1">
      <alignment vertical="top" wrapText="1"/>
    </xf>
    <xf numFmtId="165" fontId="18" fillId="29" borderId="105" xfId="0" applyNumberFormat="1" applyFont="1" applyFill="1" applyBorder="1" applyAlignment="1">
      <alignment vertical="top" wrapText="1"/>
    </xf>
    <xf numFmtId="0" fontId="13" fillId="0" borderId="140" xfId="38" applyFont="1" applyBorder="1" applyAlignment="1">
      <alignment horizontal="left" vertical="top" wrapText="1"/>
    </xf>
    <xf numFmtId="0" fontId="13" fillId="0" borderId="54" xfId="0" applyFont="1" applyBorder="1" applyAlignment="1">
      <alignment horizontal="center" vertical="center" wrapText="1"/>
    </xf>
    <xf numFmtId="2" fontId="13" fillId="26" borderId="136" xfId="0" applyNumberFormat="1" applyFont="1" applyFill="1" applyBorder="1" applyAlignment="1">
      <alignment horizontal="center" vertical="center"/>
    </xf>
    <xf numFmtId="2" fontId="13" fillId="26" borderId="189" xfId="0" applyNumberFormat="1" applyFont="1" applyFill="1" applyBorder="1" applyAlignment="1">
      <alignment horizontal="center" vertical="center"/>
    </xf>
    <xf numFmtId="2" fontId="13" fillId="26" borderId="183" xfId="0" applyNumberFormat="1" applyFont="1" applyFill="1" applyBorder="1" applyAlignment="1">
      <alignment horizontal="center" vertical="center"/>
    </xf>
    <xf numFmtId="2" fontId="13" fillId="26" borderId="232" xfId="0" applyNumberFormat="1" applyFont="1" applyFill="1" applyBorder="1" applyAlignment="1">
      <alignment horizontal="center" vertical="center"/>
    </xf>
    <xf numFmtId="0" fontId="13" fillId="0" borderId="288" xfId="0" applyFont="1" applyBorder="1" applyAlignment="1">
      <alignment horizontal="center" vertical="center" wrapText="1"/>
    </xf>
    <xf numFmtId="2" fontId="13" fillId="26" borderId="258" xfId="0" applyNumberFormat="1" applyFont="1" applyFill="1" applyBorder="1" applyAlignment="1">
      <alignment horizontal="center" vertical="center"/>
    </xf>
    <xf numFmtId="2" fontId="13" fillId="26" borderId="170" xfId="0" applyNumberFormat="1" applyFont="1" applyFill="1" applyBorder="1" applyAlignment="1">
      <alignment horizontal="center" vertical="center"/>
    </xf>
    <xf numFmtId="2" fontId="13" fillId="26" borderId="127" xfId="0" applyNumberFormat="1" applyFont="1" applyFill="1" applyBorder="1" applyAlignment="1">
      <alignment horizontal="center" vertical="center"/>
    </xf>
    <xf numFmtId="2" fontId="13" fillId="0" borderId="138" xfId="0" applyNumberFormat="1" applyFont="1" applyBorder="1" applyAlignment="1">
      <alignment horizontal="center" vertical="center"/>
    </xf>
    <xf numFmtId="0" fontId="13" fillId="0" borderId="81" xfId="0" applyFont="1" applyBorder="1" applyAlignment="1">
      <alignment horizontal="center" vertical="center" wrapText="1"/>
    </xf>
    <xf numFmtId="2" fontId="13" fillId="0" borderId="83" xfId="0" applyNumberFormat="1" applyFont="1" applyBorder="1" applyAlignment="1">
      <alignment horizontal="center" vertical="center"/>
    </xf>
    <xf numFmtId="2" fontId="13" fillId="0" borderId="254" xfId="0" applyNumberFormat="1" applyFont="1" applyBorder="1" applyAlignment="1">
      <alignment horizontal="center" vertical="center"/>
    </xf>
    <xf numFmtId="2" fontId="13" fillId="0" borderId="170" xfId="0" applyNumberFormat="1" applyFont="1" applyBorder="1" applyAlignment="1">
      <alignment horizontal="center" vertical="center"/>
    </xf>
    <xf numFmtId="2" fontId="13" fillId="26" borderId="83" xfId="0" applyNumberFormat="1" applyFont="1" applyFill="1" applyBorder="1" applyAlignment="1">
      <alignment horizontal="center" vertical="center"/>
    </xf>
    <xf numFmtId="2" fontId="13" fillId="26" borderId="254" xfId="0" applyNumberFormat="1" applyFont="1" applyFill="1" applyBorder="1" applyAlignment="1">
      <alignment horizontal="center" vertical="center"/>
    </xf>
    <xf numFmtId="2" fontId="13" fillId="26" borderId="150" xfId="0" applyNumberFormat="1" applyFont="1" applyFill="1" applyBorder="1" applyAlignment="1">
      <alignment horizontal="center" vertical="center"/>
    </xf>
    <xf numFmtId="2" fontId="13" fillId="26" borderId="272" xfId="0" applyNumberFormat="1" applyFont="1" applyFill="1" applyBorder="1" applyAlignment="1">
      <alignment horizontal="center" vertical="center"/>
    </xf>
    <xf numFmtId="2" fontId="18" fillId="27" borderId="261" xfId="0" applyNumberFormat="1" applyFont="1" applyFill="1" applyBorder="1" applyAlignment="1">
      <alignment horizontal="center" vertical="center"/>
    </xf>
    <xf numFmtId="0" fontId="13" fillId="25" borderId="81" xfId="0" applyFont="1" applyFill="1" applyBorder="1" applyAlignment="1">
      <alignment horizontal="center" vertical="center"/>
    </xf>
    <xf numFmtId="2" fontId="13" fillId="26" borderId="81" xfId="0" applyNumberFormat="1" applyFont="1" applyFill="1" applyBorder="1" applyAlignment="1">
      <alignment horizontal="center" vertical="center"/>
    </xf>
    <xf numFmtId="2" fontId="13" fillId="0" borderId="323" xfId="0" applyNumberFormat="1" applyFont="1" applyBorder="1" applyAlignment="1">
      <alignment horizontal="center" vertical="center"/>
    </xf>
    <xf numFmtId="2" fontId="13" fillId="26" borderId="323" xfId="0" applyNumberFormat="1" applyFont="1" applyFill="1" applyBorder="1" applyAlignment="1">
      <alignment horizontal="center" vertical="center"/>
    </xf>
    <xf numFmtId="0" fontId="13" fillId="25" borderId="59" xfId="0" applyFont="1" applyFill="1" applyBorder="1" applyAlignment="1">
      <alignment horizontal="center" vertical="center"/>
    </xf>
    <xf numFmtId="2" fontId="13" fillId="26" borderId="35" xfId="0" applyNumberFormat="1" applyFont="1" applyFill="1" applyBorder="1" applyAlignment="1">
      <alignment horizontal="center" vertical="center"/>
    </xf>
    <xf numFmtId="0" fontId="18" fillId="27" borderId="58" xfId="0" applyFont="1" applyFill="1" applyBorder="1" applyAlignment="1">
      <alignment horizontal="center" vertical="top"/>
    </xf>
    <xf numFmtId="49" fontId="18" fillId="29" borderId="77" xfId="0" applyNumberFormat="1" applyFont="1" applyFill="1" applyBorder="1" applyAlignment="1">
      <alignment horizontal="right" vertical="top"/>
    </xf>
    <xf numFmtId="2" fontId="18" fillId="29" borderId="42" xfId="0" applyNumberFormat="1" applyFont="1" applyFill="1" applyBorder="1" applyAlignment="1">
      <alignment horizontal="center" vertical="top"/>
    </xf>
    <xf numFmtId="2" fontId="18" fillId="29" borderId="76" xfId="0" applyNumberFormat="1" applyFont="1" applyFill="1" applyBorder="1" applyAlignment="1">
      <alignment horizontal="center" vertical="top"/>
    </xf>
    <xf numFmtId="0" fontId="13" fillId="25" borderId="114" xfId="0" applyFont="1" applyFill="1" applyBorder="1" applyAlignment="1">
      <alignment horizontal="center" vertical="center"/>
    </xf>
    <xf numFmtId="2" fontId="13" fillId="26" borderId="30" xfId="0" applyNumberFormat="1" applyFont="1" applyFill="1" applyBorder="1" applyAlignment="1">
      <alignment horizontal="center" vertical="center"/>
    </xf>
    <xf numFmtId="2" fontId="13" fillId="26" borderId="40" xfId="0" applyNumberFormat="1" applyFont="1" applyFill="1" applyBorder="1" applyAlignment="1">
      <alignment horizontal="center" vertical="center"/>
    </xf>
    <xf numFmtId="2" fontId="13" fillId="26" borderId="304" xfId="0" applyNumberFormat="1" applyFont="1" applyFill="1" applyBorder="1" applyAlignment="1">
      <alignment horizontal="center" vertical="center"/>
    </xf>
    <xf numFmtId="2" fontId="13" fillId="26" borderId="29" xfId="0" applyNumberFormat="1" applyFont="1" applyFill="1" applyBorder="1" applyAlignment="1">
      <alignment horizontal="center" vertical="top"/>
    </xf>
    <xf numFmtId="2" fontId="13" fillId="26" borderId="31" xfId="0" applyNumberFormat="1" applyFont="1" applyFill="1" applyBorder="1" applyAlignment="1">
      <alignment horizontal="center" vertical="top"/>
    </xf>
    <xf numFmtId="2" fontId="18" fillId="29" borderId="97" xfId="0" applyNumberFormat="1" applyFont="1" applyFill="1" applyBorder="1" applyAlignment="1">
      <alignment horizontal="center" vertical="top"/>
    </xf>
    <xf numFmtId="0" fontId="13" fillId="25" borderId="114" xfId="0" applyFont="1" applyFill="1" applyBorder="1" applyAlignment="1">
      <alignment horizontal="center" vertical="center" wrapText="1"/>
    </xf>
    <xf numFmtId="2" fontId="18" fillId="27" borderId="231" xfId="0" applyNumberFormat="1" applyFont="1" applyFill="1" applyBorder="1" applyAlignment="1">
      <alignment horizontal="center" vertical="center"/>
    </xf>
    <xf numFmtId="2" fontId="18" fillId="27" borderId="128" xfId="0" applyNumberFormat="1" applyFont="1" applyFill="1" applyBorder="1" applyAlignment="1">
      <alignment horizontal="center" vertical="center"/>
    </xf>
    <xf numFmtId="0" fontId="13" fillId="25" borderId="23" xfId="0" applyFont="1" applyFill="1" applyBorder="1" applyAlignment="1">
      <alignment horizontal="center" vertical="top"/>
    </xf>
    <xf numFmtId="0" fontId="18" fillId="27" borderId="219" xfId="0" applyFont="1" applyFill="1" applyBorder="1" applyAlignment="1">
      <alignment horizontal="center" vertical="top"/>
    </xf>
    <xf numFmtId="2" fontId="18" fillId="27" borderId="202" xfId="0" applyNumberFormat="1" applyFont="1" applyFill="1" applyBorder="1" applyAlignment="1">
      <alignment horizontal="center" vertical="center"/>
    </xf>
    <xf numFmtId="2" fontId="18" fillId="27" borderId="162" xfId="0" applyNumberFormat="1" applyFont="1" applyFill="1" applyBorder="1" applyAlignment="1">
      <alignment horizontal="center" vertical="center"/>
    </xf>
    <xf numFmtId="2" fontId="18" fillId="27" borderId="194" xfId="0" applyNumberFormat="1" applyFont="1" applyFill="1" applyBorder="1" applyAlignment="1">
      <alignment horizontal="center" vertical="center"/>
    </xf>
    <xf numFmtId="49" fontId="18" fillId="29" borderId="137" xfId="0" applyNumberFormat="1" applyFont="1" applyFill="1" applyBorder="1" applyAlignment="1">
      <alignment horizontal="center" vertical="top"/>
    </xf>
    <xf numFmtId="2" fontId="13" fillId="26" borderId="142" xfId="0" applyNumberFormat="1" applyFont="1" applyFill="1" applyBorder="1" applyAlignment="1">
      <alignment horizontal="center" vertical="center"/>
    </xf>
    <xf numFmtId="2" fontId="13" fillId="26" borderId="290" xfId="0" applyNumberFormat="1" applyFont="1" applyFill="1" applyBorder="1" applyAlignment="1">
      <alignment horizontal="center" vertical="center"/>
    </xf>
    <xf numFmtId="2" fontId="18" fillId="27" borderId="121" xfId="0" applyNumberFormat="1" applyFont="1" applyFill="1" applyBorder="1" applyAlignment="1">
      <alignment horizontal="center" vertical="center"/>
    </xf>
    <xf numFmtId="2" fontId="18" fillId="27" borderId="178" xfId="0" applyNumberFormat="1" applyFont="1" applyFill="1" applyBorder="1" applyAlignment="1">
      <alignment horizontal="center" vertical="center"/>
    </xf>
    <xf numFmtId="2" fontId="18" fillId="27" borderId="182" xfId="0" applyNumberFormat="1" applyFont="1" applyFill="1" applyBorder="1" applyAlignment="1">
      <alignment horizontal="center" vertical="center"/>
    </xf>
    <xf numFmtId="2" fontId="18" fillId="29" borderId="47" xfId="0" applyNumberFormat="1" applyFont="1" applyFill="1" applyBorder="1" applyAlignment="1">
      <alignment horizontal="center" vertical="center"/>
    </xf>
    <xf numFmtId="2" fontId="18" fillId="30" borderId="65" xfId="0" applyNumberFormat="1" applyFont="1" applyFill="1" applyBorder="1" applyAlignment="1">
      <alignment horizontal="right" vertical="top"/>
    </xf>
    <xf numFmtId="2" fontId="18" fillId="29" borderId="58" xfId="0" applyNumberFormat="1" applyFont="1" applyFill="1" applyBorder="1" applyAlignment="1">
      <alignment horizontal="center" vertical="top"/>
    </xf>
    <xf numFmtId="2" fontId="13" fillId="25" borderId="23" xfId="0" applyNumberFormat="1" applyFont="1" applyFill="1" applyBorder="1" applyAlignment="1">
      <alignment horizontal="center" vertical="center"/>
    </xf>
    <xf numFmtId="2" fontId="13" fillId="25" borderId="15" xfId="0" applyNumberFormat="1" applyFont="1" applyFill="1" applyBorder="1" applyAlignment="1">
      <alignment horizontal="center" vertical="center" wrapText="1"/>
    </xf>
    <xf numFmtId="2" fontId="13" fillId="26" borderId="213" xfId="0" applyNumberFormat="1" applyFont="1" applyFill="1" applyBorder="1" applyAlignment="1">
      <alignment horizontal="center" vertical="center"/>
    </xf>
    <xf numFmtId="2" fontId="18" fillId="27" borderId="123" xfId="0" applyNumberFormat="1" applyFont="1" applyFill="1" applyBorder="1" applyAlignment="1">
      <alignment horizontal="center" vertical="center"/>
    </xf>
    <xf numFmtId="2" fontId="18" fillId="29" borderId="32" xfId="0" applyNumberFormat="1" applyFont="1" applyFill="1" applyBorder="1" applyAlignment="1">
      <alignment horizontal="center" vertical="top"/>
    </xf>
    <xf numFmtId="2" fontId="18" fillId="30" borderId="49" xfId="0" applyNumberFormat="1" applyFont="1" applyFill="1" applyBorder="1" applyAlignment="1">
      <alignment horizontal="center" vertical="top"/>
    </xf>
    <xf numFmtId="2" fontId="18" fillId="27" borderId="208" xfId="0" applyNumberFormat="1" applyFont="1" applyFill="1" applyBorder="1" applyAlignment="1">
      <alignment horizontal="center" vertical="top"/>
    </xf>
    <xf numFmtId="0" fontId="13" fillId="25" borderId="139" xfId="0" applyFont="1" applyFill="1" applyBorder="1" applyAlignment="1">
      <alignment horizontal="center" vertical="center"/>
    </xf>
    <xf numFmtId="0" fontId="18" fillId="27" borderId="178" xfId="0" applyFont="1" applyFill="1" applyBorder="1" applyAlignment="1">
      <alignment horizontal="center" vertical="top"/>
    </xf>
    <xf numFmtId="2" fontId="18" fillId="29" borderId="33" xfId="0" applyNumberFormat="1" applyFont="1" applyFill="1" applyBorder="1" applyAlignment="1">
      <alignment horizontal="center" vertical="top"/>
    </xf>
    <xf numFmtId="2" fontId="18" fillId="29" borderId="189" xfId="0" applyNumberFormat="1" applyFont="1" applyFill="1" applyBorder="1" applyAlignment="1">
      <alignment horizontal="center" vertical="top"/>
    </xf>
    <xf numFmtId="2" fontId="18" fillId="30" borderId="182" xfId="0" applyNumberFormat="1" applyFont="1" applyFill="1" applyBorder="1" applyAlignment="1">
      <alignment horizontal="center" vertical="top"/>
    </xf>
    <xf numFmtId="0" fontId="13" fillId="25" borderId="15" xfId="0" applyFont="1" applyFill="1" applyBorder="1" applyAlignment="1">
      <alignment horizontal="center" vertical="top"/>
    </xf>
    <xf numFmtId="2" fontId="13" fillId="26" borderId="40" xfId="0" applyNumberFormat="1" applyFont="1" applyFill="1" applyBorder="1" applyAlignment="1">
      <alignment horizontal="center" vertical="top"/>
    </xf>
    <xf numFmtId="0" fontId="13" fillId="25" borderId="287" xfId="0" applyFont="1" applyFill="1" applyBorder="1" applyAlignment="1">
      <alignment horizontal="center" vertical="top"/>
    </xf>
    <xf numFmtId="0" fontId="18" fillId="27" borderId="233" xfId="0" applyFont="1" applyFill="1" applyBorder="1" applyAlignment="1">
      <alignment horizontal="center" vertical="top"/>
    </xf>
    <xf numFmtId="0" fontId="13" fillId="25" borderId="165" xfId="0" applyFont="1" applyFill="1" applyBorder="1" applyAlignment="1">
      <alignment horizontal="center" vertical="top"/>
    </xf>
    <xf numFmtId="49" fontId="18" fillId="30" borderId="94" xfId="0" applyNumberFormat="1" applyFont="1" applyFill="1" applyBorder="1" applyAlignment="1">
      <alignment horizontal="center" vertical="top"/>
    </xf>
    <xf numFmtId="0" fontId="13" fillId="25" borderId="126" xfId="0" applyFont="1" applyFill="1" applyBorder="1" applyAlignment="1">
      <alignment horizontal="center" vertical="top"/>
    </xf>
    <xf numFmtId="2" fontId="18" fillId="29" borderId="47" xfId="0" applyNumberFormat="1" applyFont="1" applyFill="1" applyBorder="1" applyAlignment="1">
      <alignment horizontal="center" vertical="top"/>
    </xf>
    <xf numFmtId="2" fontId="18" fillId="29" borderId="128" xfId="0" applyNumberFormat="1" applyFont="1" applyFill="1" applyBorder="1" applyAlignment="1">
      <alignment horizontal="center" vertical="top"/>
    </xf>
    <xf numFmtId="0" fontId="13" fillId="25" borderId="23" xfId="0" applyFont="1" applyFill="1" applyBorder="1" applyAlignment="1">
      <alignment horizontal="center" vertical="center"/>
    </xf>
    <xf numFmtId="0" fontId="13" fillId="25" borderId="59" xfId="0" applyFont="1" applyFill="1" applyBorder="1" applyAlignment="1">
      <alignment horizontal="center" vertical="center" wrapText="1"/>
    </xf>
    <xf numFmtId="2" fontId="13" fillId="26" borderId="33" xfId="0" applyNumberFormat="1" applyFont="1" applyFill="1" applyBorder="1" applyAlignment="1">
      <alignment horizontal="center" vertical="center"/>
    </xf>
    <xf numFmtId="0" fontId="18" fillId="27" borderId="58" xfId="0" applyFont="1" applyFill="1" applyBorder="1" applyAlignment="1">
      <alignment horizontal="center" vertical="center"/>
    </xf>
    <xf numFmtId="2" fontId="18" fillId="29" borderId="41" xfId="0" applyNumberFormat="1" applyFont="1" applyFill="1" applyBorder="1" applyAlignment="1">
      <alignment horizontal="center" vertical="top"/>
    </xf>
    <xf numFmtId="2" fontId="18" fillId="29" borderId="49" xfId="0" applyNumberFormat="1" applyFont="1" applyFill="1" applyBorder="1" applyAlignment="1">
      <alignment horizontal="center" vertical="top"/>
    </xf>
    <xf numFmtId="49" fontId="18" fillId="30" borderId="186" xfId="0" applyNumberFormat="1" applyFont="1" applyFill="1" applyBorder="1" applyAlignment="1">
      <alignment horizontal="center" vertical="top"/>
    </xf>
    <xf numFmtId="0" fontId="18" fillId="29" borderId="33" xfId="0" applyFont="1" applyFill="1" applyBorder="1" applyAlignment="1">
      <alignment vertical="top"/>
    </xf>
    <xf numFmtId="0" fontId="18" fillId="29" borderId="0" xfId="0" applyFont="1" applyFill="1" applyAlignment="1">
      <alignment vertical="top" wrapText="1"/>
    </xf>
    <xf numFmtId="0" fontId="18" fillId="29" borderId="54" xfId="0" applyFont="1" applyFill="1" applyBorder="1" applyAlignment="1">
      <alignment vertical="top" wrapText="1"/>
    </xf>
    <xf numFmtId="49" fontId="18" fillId="29" borderId="122" xfId="0" applyNumberFormat="1" applyFont="1" applyFill="1" applyBorder="1" applyAlignment="1">
      <alignment horizontal="center" vertical="top"/>
    </xf>
    <xf numFmtId="0" fontId="13" fillId="25" borderId="136" xfId="0" applyFont="1" applyFill="1" applyBorder="1" applyAlignment="1">
      <alignment horizontal="center" vertical="center" wrapText="1"/>
    </xf>
    <xf numFmtId="2" fontId="18" fillId="29" borderId="55" xfId="0" applyNumberFormat="1" applyFont="1" applyFill="1" applyBorder="1" applyAlignment="1">
      <alignment horizontal="center" vertical="top"/>
    </xf>
    <xf numFmtId="2" fontId="18" fillId="29" borderId="61" xfId="0" applyNumberFormat="1" applyFont="1" applyFill="1" applyBorder="1" applyAlignment="1">
      <alignment horizontal="center" vertical="top"/>
    </xf>
    <xf numFmtId="2" fontId="18" fillId="30" borderId="41" xfId="0" applyNumberFormat="1" applyFont="1" applyFill="1" applyBorder="1" applyAlignment="1">
      <alignment horizontal="center" vertical="top"/>
    </xf>
    <xf numFmtId="49" fontId="18" fillId="31" borderId="49" xfId="0" applyNumberFormat="1" applyFont="1" applyFill="1" applyBorder="1" applyAlignment="1">
      <alignment horizontal="center" vertical="top"/>
    </xf>
    <xf numFmtId="2" fontId="18" fillId="31" borderId="55" xfId="0" applyNumberFormat="1" applyFont="1" applyFill="1" applyBorder="1" applyAlignment="1">
      <alignment horizontal="center" vertical="top"/>
    </xf>
    <xf numFmtId="166" fontId="13" fillId="0" borderId="0" xfId="0" applyNumberFormat="1" applyFont="1"/>
    <xf numFmtId="2" fontId="13" fillId="0" borderId="58" xfId="0" applyNumberFormat="1" applyFont="1" applyBorder="1" applyAlignment="1">
      <alignment horizontal="center" vertical="center"/>
    </xf>
    <xf numFmtId="0" fontId="13" fillId="0" borderId="0" xfId="23" applyFont="1"/>
    <xf numFmtId="0" fontId="18" fillId="0" borderId="0" xfId="23" applyFont="1" applyAlignment="1">
      <alignment horizontal="center"/>
    </xf>
    <xf numFmtId="0" fontId="31" fillId="0" borderId="0" xfId="23" applyFont="1"/>
    <xf numFmtId="0" fontId="18" fillId="31" borderId="76" xfId="23" applyFont="1" applyFill="1" applyBorder="1" applyAlignment="1">
      <alignment vertical="top"/>
    </xf>
    <xf numFmtId="0" fontId="18" fillId="31" borderId="77" xfId="23" applyFont="1" applyFill="1" applyBorder="1" applyAlignment="1">
      <alignment vertical="top"/>
    </xf>
    <xf numFmtId="0" fontId="18" fillId="31" borderId="65" xfId="23" applyFont="1" applyFill="1" applyBorder="1" applyAlignment="1">
      <alignment vertical="top"/>
    </xf>
    <xf numFmtId="49" fontId="18" fillId="30" borderId="49" xfId="23" applyNumberFormat="1" applyFont="1" applyFill="1" applyBorder="1" applyAlignment="1">
      <alignment horizontal="center" vertical="top"/>
    </xf>
    <xf numFmtId="0" fontId="18" fillId="30" borderId="76" xfId="23" applyFont="1" applyFill="1" applyBorder="1" applyAlignment="1">
      <alignment vertical="top"/>
    </xf>
    <xf numFmtId="0" fontId="18" fillId="30" borderId="77" xfId="23" applyFont="1" applyFill="1" applyBorder="1" applyAlignment="1">
      <alignment vertical="top"/>
    </xf>
    <xf numFmtId="0" fontId="18" fillId="30" borderId="65" xfId="23" applyFont="1" applyFill="1" applyBorder="1" applyAlignment="1">
      <alignment vertical="top"/>
    </xf>
    <xf numFmtId="49" fontId="18" fillId="30" borderId="104" xfId="23" applyNumberFormat="1" applyFont="1" applyFill="1" applyBorder="1" applyAlignment="1">
      <alignment horizontal="center" vertical="top"/>
    </xf>
    <xf numFmtId="49" fontId="18" fillId="29" borderId="49" xfId="23" applyNumberFormat="1" applyFont="1" applyFill="1" applyBorder="1" applyAlignment="1">
      <alignment horizontal="center" vertical="top"/>
    </xf>
    <xf numFmtId="0" fontId="18" fillId="29" borderId="76" xfId="23" applyFont="1" applyFill="1" applyBorder="1" applyAlignment="1">
      <alignment vertical="top"/>
    </xf>
    <xf numFmtId="0" fontId="18" fillId="29" borderId="77" xfId="23" applyFont="1" applyFill="1" applyBorder="1" applyAlignment="1">
      <alignment vertical="top"/>
    </xf>
    <xf numFmtId="0" fontId="18" fillId="29" borderId="65" xfId="23" applyFont="1" applyFill="1" applyBorder="1" applyAlignment="1">
      <alignment vertical="top"/>
    </xf>
    <xf numFmtId="49" fontId="18" fillId="30" borderId="74" xfId="23" applyNumberFormat="1" applyFont="1" applyFill="1" applyBorder="1" applyAlignment="1">
      <alignment horizontal="center" vertical="top"/>
    </xf>
    <xf numFmtId="49" fontId="18" fillId="30" borderId="51" xfId="23" applyNumberFormat="1" applyFont="1" applyFill="1" applyBorder="1" applyAlignment="1">
      <alignment horizontal="center" vertical="top"/>
    </xf>
    <xf numFmtId="49" fontId="18" fillId="30" borderId="208" xfId="23" applyNumberFormat="1" applyFont="1" applyFill="1" applyBorder="1" applyAlignment="1">
      <alignment horizontal="center" vertical="top"/>
    </xf>
    <xf numFmtId="49" fontId="18" fillId="30" borderId="129" xfId="23" applyNumberFormat="1" applyFont="1" applyFill="1" applyBorder="1" applyAlignment="1">
      <alignment horizontal="center" vertical="top"/>
    </xf>
    <xf numFmtId="49" fontId="18" fillId="30" borderId="33" xfId="23" applyNumberFormat="1" applyFont="1" applyFill="1" applyBorder="1" applyAlignment="1">
      <alignment horizontal="center" vertical="top"/>
    </xf>
    <xf numFmtId="2" fontId="18" fillId="33" borderId="109" xfId="23" applyNumberFormat="1" applyFont="1" applyFill="1" applyBorder="1" applyAlignment="1">
      <alignment horizontal="center" vertical="top"/>
    </xf>
    <xf numFmtId="2" fontId="18" fillId="33" borderId="59" xfId="23" applyNumberFormat="1" applyFont="1" applyFill="1" applyBorder="1" applyAlignment="1">
      <alignment horizontal="center" vertical="top"/>
    </xf>
    <xf numFmtId="49" fontId="18" fillId="29" borderId="12" xfId="23" applyNumberFormat="1" applyFont="1" applyFill="1" applyBorder="1" applyAlignment="1">
      <alignment horizontal="center" vertical="top"/>
    </xf>
    <xf numFmtId="0" fontId="18" fillId="29" borderId="105" xfId="23" applyFont="1" applyFill="1" applyBorder="1" applyAlignment="1">
      <alignment vertical="top"/>
    </xf>
    <xf numFmtId="49" fontId="18" fillId="30" borderId="94" xfId="23" applyNumberFormat="1" applyFont="1" applyFill="1" applyBorder="1" applyAlignment="1">
      <alignment horizontal="center" vertical="top"/>
    </xf>
    <xf numFmtId="2" fontId="18" fillId="33" borderId="33" xfId="23" applyNumberFormat="1" applyFont="1" applyFill="1" applyBorder="1" applyAlignment="1">
      <alignment horizontal="center" vertical="top"/>
    </xf>
    <xf numFmtId="2" fontId="18" fillId="33" borderId="128" xfId="23" applyNumberFormat="1" applyFont="1" applyFill="1" applyBorder="1" applyAlignment="1">
      <alignment horizontal="center" vertical="top"/>
    </xf>
    <xf numFmtId="49" fontId="18" fillId="29" borderId="10" xfId="23" applyNumberFormat="1" applyFont="1" applyFill="1" applyBorder="1" applyAlignment="1">
      <alignment horizontal="center" vertical="top"/>
    </xf>
    <xf numFmtId="0" fontId="18" fillId="29" borderId="32" xfId="23" applyFont="1" applyFill="1" applyBorder="1" applyAlignment="1">
      <alignment vertical="top"/>
    </xf>
    <xf numFmtId="0" fontId="18" fillId="29" borderId="63" xfId="23" applyFont="1" applyFill="1" applyBorder="1" applyAlignment="1">
      <alignment vertical="top"/>
    </xf>
    <xf numFmtId="0" fontId="18" fillId="29" borderId="86" xfId="23" applyFont="1" applyFill="1" applyBorder="1" applyAlignment="1">
      <alignment vertical="top"/>
    </xf>
    <xf numFmtId="49" fontId="18" fillId="30" borderId="67" xfId="23" applyNumberFormat="1" applyFont="1" applyFill="1" applyBorder="1" applyAlignment="1">
      <alignment horizontal="center" vertical="top"/>
    </xf>
    <xf numFmtId="49" fontId="18" fillId="30" borderId="52" xfId="23" applyNumberFormat="1" applyFont="1" applyFill="1" applyBorder="1" applyAlignment="1">
      <alignment horizontal="center" vertical="top"/>
    </xf>
    <xf numFmtId="49" fontId="18" fillId="37" borderId="94" xfId="23" applyNumberFormat="1" applyFont="1" applyFill="1" applyBorder="1" applyAlignment="1">
      <alignment horizontal="center" vertical="top"/>
    </xf>
    <xf numFmtId="0" fontId="18" fillId="37" borderId="76" xfId="23" applyFont="1" applyFill="1" applyBorder="1" applyAlignment="1">
      <alignment vertical="top"/>
    </xf>
    <xf numFmtId="0" fontId="18" fillId="37" borderId="77" xfId="23" applyFont="1" applyFill="1" applyBorder="1" applyAlignment="1">
      <alignment vertical="top"/>
    </xf>
    <xf numFmtId="0" fontId="18" fillId="37" borderId="65" xfId="23" applyFont="1" applyFill="1" applyBorder="1" applyAlignment="1">
      <alignment vertical="top"/>
    </xf>
    <xf numFmtId="0" fontId="32" fillId="29" borderId="76" xfId="23" applyFont="1" applyFill="1" applyBorder="1" applyAlignment="1">
      <alignment vertical="top"/>
    </xf>
    <xf numFmtId="49" fontId="18" fillId="29" borderId="178" xfId="23" applyNumberFormat="1" applyFont="1" applyFill="1" applyBorder="1" applyAlignment="1">
      <alignment horizontal="center" vertical="top"/>
    </xf>
    <xf numFmtId="2" fontId="18" fillId="30" borderId="47" xfId="23" applyNumberFormat="1" applyFont="1" applyFill="1" applyBorder="1" applyAlignment="1">
      <alignment horizontal="center" vertical="top"/>
    </xf>
    <xf numFmtId="2" fontId="18" fillId="30" borderId="59" xfId="23" applyNumberFormat="1" applyFont="1" applyFill="1" applyBorder="1" applyAlignment="1">
      <alignment horizontal="center" vertical="top"/>
    </xf>
    <xf numFmtId="49" fontId="18" fillId="31" borderId="71" xfId="23" applyNumberFormat="1" applyFont="1" applyFill="1" applyBorder="1" applyAlignment="1">
      <alignment horizontal="center" vertical="top"/>
    </xf>
    <xf numFmtId="2" fontId="18" fillId="34" borderId="42" xfId="23" applyNumberFormat="1" applyFont="1" applyFill="1" applyBorder="1" applyAlignment="1">
      <alignment horizontal="center" vertical="top"/>
    </xf>
    <xf numFmtId="2" fontId="18" fillId="34" borderId="58" xfId="23" applyNumberFormat="1" applyFont="1" applyFill="1" applyBorder="1" applyAlignment="1">
      <alignment horizontal="center" vertical="top"/>
    </xf>
    <xf numFmtId="49" fontId="13" fillId="0" borderId="0" xfId="23" applyNumberFormat="1" applyFont="1" applyAlignment="1">
      <alignment horizontal="right" vertical="top"/>
    </xf>
    <xf numFmtId="166" fontId="31" fillId="0" borderId="0" xfId="23" applyNumberFormat="1" applyFont="1"/>
    <xf numFmtId="0" fontId="31" fillId="0" borderId="0" xfId="0" applyFont="1"/>
    <xf numFmtId="0" fontId="31" fillId="0" borderId="0" xfId="23" applyFont="1" applyAlignment="1">
      <alignment horizontal="center"/>
    </xf>
    <xf numFmtId="2" fontId="18" fillId="0" borderId="53" xfId="0" applyNumberFormat="1" applyFont="1" applyBorder="1" applyAlignment="1">
      <alignment horizontal="center" vertical="center" wrapText="1"/>
    </xf>
    <xf numFmtId="2" fontId="18" fillId="25" borderId="70" xfId="0" applyNumberFormat="1" applyFont="1" applyFill="1" applyBorder="1" applyAlignment="1">
      <alignment horizontal="center" vertical="center" wrapText="1"/>
    </xf>
    <xf numFmtId="0" fontId="18" fillId="30" borderId="208" xfId="0" applyFont="1" applyFill="1" applyBorder="1" applyAlignment="1">
      <alignment vertical="top"/>
    </xf>
    <xf numFmtId="0" fontId="18" fillId="30" borderId="122" xfId="0" applyFont="1" applyFill="1" applyBorder="1" applyAlignment="1">
      <alignment vertical="top"/>
    </xf>
    <xf numFmtId="2" fontId="18" fillId="30" borderId="122" xfId="0" applyNumberFormat="1" applyFont="1" applyFill="1" applyBorder="1" applyAlignment="1">
      <alignment vertical="top"/>
    </xf>
    <xf numFmtId="2" fontId="18" fillId="30" borderId="194" xfId="0" applyNumberFormat="1" applyFont="1" applyFill="1" applyBorder="1" applyAlignment="1">
      <alignment vertical="top"/>
    </xf>
    <xf numFmtId="0" fontId="18" fillId="29" borderId="231" xfId="0" applyFont="1" applyFill="1" applyBorder="1" applyAlignment="1">
      <alignment vertical="top"/>
    </xf>
    <xf numFmtId="0" fontId="18" fillId="29" borderId="176" xfId="0" applyFont="1" applyFill="1" applyBorder="1" applyAlignment="1">
      <alignment vertical="top"/>
    </xf>
    <xf numFmtId="0" fontId="18" fillId="29" borderId="122" xfId="0" applyFont="1" applyFill="1" applyBorder="1" applyAlignment="1">
      <alignment vertical="top"/>
    </xf>
    <xf numFmtId="2" fontId="18" fillId="29" borderId="122" xfId="0" applyNumberFormat="1" applyFont="1" applyFill="1" applyBorder="1" applyAlignment="1">
      <alignment vertical="top"/>
    </xf>
    <xf numFmtId="2" fontId="18" fillId="29" borderId="194" xfId="0" applyNumberFormat="1" applyFont="1" applyFill="1" applyBorder="1" applyAlignment="1">
      <alignment vertical="top"/>
    </xf>
    <xf numFmtId="49" fontId="18" fillId="29" borderId="123" xfId="0" applyNumberFormat="1" applyFont="1" applyFill="1" applyBorder="1" applyAlignment="1">
      <alignment horizontal="center" vertical="top"/>
    </xf>
    <xf numFmtId="2" fontId="15" fillId="29" borderId="185" xfId="0" applyNumberFormat="1" applyFont="1" applyFill="1" applyBorder="1" applyAlignment="1">
      <alignment horizontal="center" vertical="top"/>
    </xf>
    <xf numFmtId="2" fontId="15" fillId="29" borderId="171" xfId="0" applyNumberFormat="1" applyFont="1" applyFill="1" applyBorder="1" applyAlignment="1">
      <alignment horizontal="center" vertical="top"/>
    </xf>
    <xf numFmtId="0" fontId="18" fillId="29" borderId="124" xfId="0" applyFont="1" applyFill="1" applyBorder="1" applyAlignment="1">
      <alignment vertical="top"/>
    </xf>
    <xf numFmtId="2" fontId="18" fillId="29" borderId="176" xfId="0" applyNumberFormat="1" applyFont="1" applyFill="1" applyBorder="1" applyAlignment="1">
      <alignment vertical="top"/>
    </xf>
    <xf numFmtId="2" fontId="18" fillId="29" borderId="261" xfId="0" applyNumberFormat="1" applyFont="1" applyFill="1" applyBorder="1" applyAlignment="1">
      <alignment vertical="top"/>
    </xf>
    <xf numFmtId="0" fontId="13" fillId="25" borderId="166" xfId="0" applyFont="1" applyFill="1" applyBorder="1" applyAlignment="1">
      <alignment horizontal="center" vertical="center"/>
    </xf>
    <xf numFmtId="2" fontId="13" fillId="25" borderId="137" xfId="0" applyNumberFormat="1" applyFont="1" applyFill="1" applyBorder="1" applyAlignment="1">
      <alignment horizontal="center" vertical="center"/>
    </xf>
    <xf numFmtId="2" fontId="13" fillId="25" borderId="127" xfId="0" applyNumberFormat="1" applyFont="1" applyFill="1" applyBorder="1" applyAlignment="1">
      <alignment horizontal="center" vertical="center"/>
    </xf>
    <xf numFmtId="0" fontId="13" fillId="25" borderId="187" xfId="0" applyFont="1" applyFill="1" applyBorder="1" applyAlignment="1">
      <alignment horizontal="center" vertical="center"/>
    </xf>
    <xf numFmtId="2" fontId="13" fillId="25" borderId="136" xfId="0" applyNumberFormat="1" applyFont="1" applyFill="1" applyBorder="1" applyAlignment="1">
      <alignment horizontal="center" vertical="center"/>
    </xf>
    <xf numFmtId="2" fontId="13" fillId="25" borderId="189" xfId="0" applyNumberFormat="1" applyFont="1" applyFill="1" applyBorder="1" applyAlignment="1">
      <alignment horizontal="center" vertical="center"/>
    </xf>
    <xf numFmtId="0" fontId="13" fillId="25" borderId="188" xfId="0" applyFont="1" applyFill="1" applyBorder="1" applyAlignment="1">
      <alignment horizontal="center" vertical="center"/>
    </xf>
    <xf numFmtId="2" fontId="13" fillId="25" borderId="150" xfId="0" applyNumberFormat="1" applyFont="1" applyFill="1" applyBorder="1" applyAlignment="1">
      <alignment horizontal="center" vertical="center"/>
    </xf>
    <xf numFmtId="2" fontId="13" fillId="25" borderId="272" xfId="0" applyNumberFormat="1" applyFont="1" applyFill="1" applyBorder="1" applyAlignment="1">
      <alignment horizontal="center" vertical="center"/>
    </xf>
    <xf numFmtId="0" fontId="13" fillId="25" borderId="262" xfId="0" applyFont="1" applyFill="1" applyBorder="1" applyAlignment="1">
      <alignment horizontal="center" vertical="center"/>
    </xf>
    <xf numFmtId="2" fontId="13" fillId="25" borderId="144" xfId="0" applyNumberFormat="1" applyFont="1" applyFill="1" applyBorder="1" applyAlignment="1">
      <alignment horizontal="center" vertical="center"/>
    </xf>
    <xf numFmtId="49" fontId="18" fillId="29" borderId="179" xfId="0" applyNumberFormat="1" applyFont="1" applyFill="1" applyBorder="1" applyAlignment="1">
      <alignment horizontal="center" vertical="top"/>
    </xf>
    <xf numFmtId="0" fontId="13" fillId="25" borderId="253" xfId="0" applyFont="1" applyFill="1" applyBorder="1" applyAlignment="1">
      <alignment horizontal="center" vertical="top" wrapText="1"/>
    </xf>
    <xf numFmtId="2" fontId="13" fillId="26" borderId="265" xfId="0" applyNumberFormat="1" applyFont="1" applyFill="1" applyBorder="1" applyAlignment="1">
      <alignment horizontal="center" vertical="top"/>
    </xf>
    <xf numFmtId="2" fontId="13" fillId="26" borderId="232" xfId="0" applyNumberFormat="1" applyFont="1" applyFill="1" applyBorder="1" applyAlignment="1">
      <alignment horizontal="center" vertical="top"/>
    </xf>
    <xf numFmtId="49" fontId="18" fillId="29" borderId="266" xfId="0" applyNumberFormat="1" applyFont="1" applyFill="1" applyBorder="1" applyAlignment="1">
      <alignment horizontal="center" vertical="top"/>
    </xf>
    <xf numFmtId="0" fontId="18" fillId="27" borderId="173" xfId="0" applyFont="1" applyFill="1" applyBorder="1" applyAlignment="1">
      <alignment horizontal="center" vertical="top"/>
    </xf>
    <xf numFmtId="2" fontId="18" fillId="27" borderId="269" xfId="0" applyNumberFormat="1" applyFont="1" applyFill="1" applyBorder="1" applyAlignment="1">
      <alignment horizontal="center" vertical="top"/>
    </xf>
    <xf numFmtId="2" fontId="18" fillId="27" borderId="173" xfId="0" applyNumberFormat="1" applyFont="1" applyFill="1" applyBorder="1" applyAlignment="1">
      <alignment horizontal="center" vertical="top"/>
    </xf>
    <xf numFmtId="2" fontId="18" fillId="27" borderId="172" xfId="0" applyNumberFormat="1" applyFont="1" applyFill="1" applyBorder="1" applyAlignment="1">
      <alignment horizontal="center" vertical="top"/>
    </xf>
    <xf numFmtId="2" fontId="15" fillId="29" borderId="41" xfId="0" applyNumberFormat="1" applyFont="1" applyFill="1" applyBorder="1" applyAlignment="1">
      <alignment horizontal="center" vertical="top"/>
    </xf>
    <xf numFmtId="2" fontId="15" fillId="29" borderId="34" xfId="0" applyNumberFormat="1" applyFont="1" applyFill="1" applyBorder="1" applyAlignment="1">
      <alignment horizontal="center" vertical="top"/>
    </xf>
    <xf numFmtId="2" fontId="15" fillId="29" borderId="128" xfId="0" applyNumberFormat="1" applyFont="1" applyFill="1" applyBorder="1" applyAlignment="1">
      <alignment horizontal="center" vertical="top"/>
    </xf>
    <xf numFmtId="49" fontId="18" fillId="29" borderId="76" xfId="0" applyNumberFormat="1" applyFont="1" applyFill="1" applyBorder="1" applyAlignment="1">
      <alignment vertical="top"/>
    </xf>
    <xf numFmtId="49" fontId="18" fillId="29" borderId="77" xfId="0" applyNumberFormat="1" applyFont="1" applyFill="1" applyBorder="1" applyAlignment="1">
      <alignment vertical="top"/>
    </xf>
    <xf numFmtId="2" fontId="15" fillId="29" borderId="77" xfId="0" applyNumberFormat="1" applyFont="1" applyFill="1" applyBorder="1" applyAlignment="1">
      <alignment horizontal="center" vertical="top"/>
    </xf>
    <xf numFmtId="2" fontId="15" fillId="29" borderId="54" xfId="0" applyNumberFormat="1" applyFont="1" applyFill="1" applyBorder="1" applyAlignment="1">
      <alignment horizontal="center" vertical="top"/>
    </xf>
    <xf numFmtId="2" fontId="15" fillId="29" borderId="49" xfId="0" applyNumberFormat="1" applyFont="1" applyFill="1" applyBorder="1" applyAlignment="1">
      <alignment horizontal="center" vertical="top"/>
    </xf>
    <xf numFmtId="0" fontId="18" fillId="29" borderId="34" xfId="0" applyFont="1" applyFill="1" applyBorder="1" applyAlignment="1">
      <alignment vertical="top"/>
    </xf>
    <xf numFmtId="0" fontId="18" fillId="29" borderId="64" xfId="0" applyFont="1" applyFill="1" applyBorder="1" applyAlignment="1">
      <alignment vertical="top" wrapText="1"/>
    </xf>
    <xf numFmtId="2" fontId="18" fillId="29" borderId="64" xfId="0" applyNumberFormat="1" applyFont="1" applyFill="1" applyBorder="1" applyAlignment="1">
      <alignment vertical="top" wrapText="1"/>
    </xf>
    <xf numFmtId="2" fontId="18" fillId="29" borderId="86" xfId="0" applyNumberFormat="1" applyFont="1" applyFill="1" applyBorder="1" applyAlignment="1">
      <alignment vertical="top" wrapText="1"/>
    </xf>
    <xf numFmtId="2" fontId="13" fillId="0" borderId="70" xfId="0" applyNumberFormat="1" applyFont="1" applyBorder="1" applyAlignment="1">
      <alignment horizontal="center" vertical="center"/>
    </xf>
    <xf numFmtId="2" fontId="18" fillId="27" borderId="189" xfId="0" applyNumberFormat="1" applyFont="1" applyFill="1" applyBorder="1" applyAlignment="1">
      <alignment horizontal="center" vertical="center"/>
    </xf>
    <xf numFmtId="2" fontId="13" fillId="26" borderId="109" xfId="0" applyNumberFormat="1" applyFont="1" applyFill="1" applyBorder="1" applyAlignment="1">
      <alignment horizontal="center" vertical="center"/>
    </xf>
    <xf numFmtId="2" fontId="18" fillId="27" borderId="193" xfId="0" applyNumberFormat="1" applyFont="1" applyFill="1" applyBorder="1" applyAlignment="1">
      <alignment horizontal="center" vertical="center"/>
    </xf>
    <xf numFmtId="2" fontId="15" fillId="29" borderId="177" xfId="0" applyNumberFormat="1" applyFont="1" applyFill="1" applyBorder="1" applyAlignment="1">
      <alignment horizontal="center" vertical="top"/>
    </xf>
    <xf numFmtId="49" fontId="18" fillId="30" borderId="104" xfId="0" applyNumberFormat="1" applyFont="1" applyFill="1" applyBorder="1" applyAlignment="1">
      <alignment horizontal="center" vertical="top"/>
    </xf>
    <xf numFmtId="0" fontId="18" fillId="29" borderId="77" xfId="0" applyFont="1" applyFill="1" applyBorder="1" applyAlignment="1">
      <alignment vertical="top"/>
    </xf>
    <xf numFmtId="2" fontId="13" fillId="26" borderId="36" xfId="0" applyNumberFormat="1" applyFont="1" applyFill="1" applyBorder="1" applyAlignment="1">
      <alignment horizontal="center" vertical="center"/>
    </xf>
    <xf numFmtId="2" fontId="13" fillId="26" borderId="50" xfId="0" applyNumberFormat="1" applyFont="1" applyFill="1" applyBorder="1" applyAlignment="1">
      <alignment horizontal="center" vertical="center"/>
    </xf>
    <xf numFmtId="2" fontId="13" fillId="26" borderId="324" xfId="0" applyNumberFormat="1" applyFont="1" applyFill="1" applyBorder="1" applyAlignment="1">
      <alignment horizontal="center" vertical="center"/>
    </xf>
    <xf numFmtId="2" fontId="13" fillId="26" borderId="325" xfId="0" applyNumberFormat="1" applyFont="1" applyFill="1" applyBorder="1" applyAlignment="1">
      <alignment horizontal="center" vertical="center"/>
    </xf>
    <xf numFmtId="2" fontId="18" fillId="27" borderId="97" xfId="0" applyNumberFormat="1" applyFont="1" applyFill="1" applyBorder="1" applyAlignment="1">
      <alignment horizontal="center" vertical="center"/>
    </xf>
    <xf numFmtId="2" fontId="18" fillId="27" borderId="32" xfId="0" applyNumberFormat="1" applyFont="1" applyFill="1" applyBorder="1" applyAlignment="1">
      <alignment horizontal="center" vertical="center"/>
    </xf>
    <xf numFmtId="2" fontId="18" fillId="27" borderId="224" xfId="0" applyNumberFormat="1" applyFont="1" applyFill="1" applyBorder="1" applyAlignment="1">
      <alignment horizontal="center" vertical="center"/>
    </xf>
    <xf numFmtId="2" fontId="13" fillId="26" borderId="302" xfId="0" applyNumberFormat="1" applyFont="1" applyFill="1" applyBorder="1" applyAlignment="1">
      <alignment horizontal="center" vertical="center"/>
    </xf>
    <xf numFmtId="2" fontId="15" fillId="29" borderId="47" xfId="0" applyNumberFormat="1" applyFont="1" applyFill="1" applyBorder="1" applyAlignment="1">
      <alignment horizontal="center" vertical="center"/>
    </xf>
    <xf numFmtId="2" fontId="15" fillId="29" borderId="33" xfId="0" applyNumberFormat="1" applyFont="1" applyFill="1" applyBorder="1" applyAlignment="1">
      <alignment horizontal="center" vertical="center"/>
    </xf>
    <xf numFmtId="2" fontId="15" fillId="29" borderId="127" xfId="0" applyNumberFormat="1" applyFont="1" applyFill="1" applyBorder="1" applyAlignment="1">
      <alignment horizontal="center" vertical="center"/>
    </xf>
    <xf numFmtId="2" fontId="13" fillId="0" borderId="232" xfId="0" applyNumberFormat="1" applyFont="1" applyBorder="1" applyAlignment="1">
      <alignment horizontal="center" vertical="center"/>
    </xf>
    <xf numFmtId="2" fontId="13" fillId="0" borderId="137" xfId="0" applyNumberFormat="1" applyFont="1" applyBorder="1" applyAlignment="1">
      <alignment horizontal="center" vertical="center"/>
    </xf>
    <xf numFmtId="2" fontId="13" fillId="0" borderId="127" xfId="0" applyNumberFormat="1" applyFont="1" applyBorder="1" applyAlignment="1">
      <alignment horizontal="center" vertical="center"/>
    </xf>
    <xf numFmtId="2" fontId="15" fillId="29" borderId="127" xfId="0" applyNumberFormat="1" applyFont="1" applyFill="1" applyBorder="1" applyAlignment="1">
      <alignment horizontal="center" vertical="top"/>
    </xf>
    <xf numFmtId="49" fontId="18" fillId="30" borderId="32" xfId="0" applyNumberFormat="1" applyFont="1" applyFill="1" applyBorder="1" applyAlignment="1">
      <alignment horizontal="center" vertical="top"/>
    </xf>
    <xf numFmtId="49" fontId="18" fillId="30" borderId="63" xfId="0" applyNumberFormat="1" applyFont="1" applyFill="1" applyBorder="1" applyAlignment="1">
      <alignment horizontal="center" vertical="top"/>
    </xf>
    <xf numFmtId="49" fontId="18" fillId="30" borderId="105" xfId="0" applyNumberFormat="1" applyFont="1" applyFill="1" applyBorder="1" applyAlignment="1">
      <alignment horizontal="right" vertical="top"/>
    </xf>
    <xf numFmtId="2" fontId="18" fillId="30" borderId="10" xfId="0" applyNumberFormat="1" applyFont="1" applyFill="1" applyBorder="1" applyAlignment="1">
      <alignment horizontal="center" vertical="top"/>
    </xf>
    <xf numFmtId="49" fontId="18" fillId="30" borderId="76" xfId="0" applyNumberFormat="1" applyFont="1" applyFill="1" applyBorder="1" applyAlignment="1">
      <alignment horizontal="left" vertical="top"/>
    </xf>
    <xf numFmtId="2" fontId="18" fillId="30" borderId="63" xfId="0" applyNumberFormat="1" applyFont="1" applyFill="1" applyBorder="1" applyAlignment="1">
      <alignment horizontal="center" vertical="top"/>
    </xf>
    <xf numFmtId="2" fontId="18" fillId="30" borderId="54" xfId="0" applyNumberFormat="1" applyFont="1" applyFill="1" applyBorder="1" applyAlignment="1">
      <alignment horizontal="center" vertical="top"/>
    </xf>
    <xf numFmtId="2" fontId="18" fillId="27" borderId="208" xfId="0" applyNumberFormat="1" applyFont="1" applyFill="1" applyBorder="1" applyAlignment="1">
      <alignment horizontal="center" vertical="center"/>
    </xf>
    <xf numFmtId="2" fontId="13" fillId="25" borderId="143" xfId="0" applyNumberFormat="1" applyFont="1" applyFill="1" applyBorder="1" applyAlignment="1">
      <alignment horizontal="center" vertical="center"/>
    </xf>
    <xf numFmtId="2" fontId="13" fillId="0" borderId="81" xfId="0" applyNumberFormat="1" applyFont="1" applyBorder="1" applyAlignment="1">
      <alignment horizontal="center" vertical="center"/>
    </xf>
    <xf numFmtId="2" fontId="13" fillId="26" borderId="317" xfId="0" applyNumberFormat="1" applyFont="1" applyFill="1" applyBorder="1" applyAlignment="1">
      <alignment horizontal="center" vertical="center"/>
    </xf>
    <xf numFmtId="2" fontId="13" fillId="26" borderId="134" xfId="0" applyNumberFormat="1" applyFont="1" applyFill="1" applyBorder="1" applyAlignment="1">
      <alignment horizontal="center" vertical="center"/>
    </xf>
    <xf numFmtId="49" fontId="18" fillId="29" borderId="129" xfId="0" applyNumberFormat="1" applyFont="1" applyFill="1" applyBorder="1" applyAlignment="1">
      <alignment horizontal="center" vertical="top"/>
    </xf>
    <xf numFmtId="2" fontId="15" fillId="29" borderId="315" xfId="0" applyNumberFormat="1" applyFont="1" applyFill="1" applyBorder="1" applyAlignment="1">
      <alignment horizontal="center" vertical="center"/>
    </xf>
    <xf numFmtId="2" fontId="15" fillId="29" borderId="34" xfId="0" applyNumberFormat="1" applyFont="1" applyFill="1" applyBorder="1" applyAlignment="1">
      <alignment horizontal="center" vertical="center"/>
    </xf>
    <xf numFmtId="2" fontId="15" fillId="29" borderId="128" xfId="0" applyNumberFormat="1" applyFont="1" applyFill="1" applyBorder="1" applyAlignment="1">
      <alignment horizontal="center" vertical="center"/>
    </xf>
    <xf numFmtId="49" fontId="18" fillId="30" borderId="54" xfId="0" applyNumberFormat="1" applyFont="1" applyFill="1" applyBorder="1" applyAlignment="1">
      <alignment horizontal="right" vertical="top"/>
    </xf>
    <xf numFmtId="2" fontId="18" fillId="30" borderId="128" xfId="0" applyNumberFormat="1" applyFont="1" applyFill="1" applyBorder="1" applyAlignment="1">
      <alignment horizontal="center" vertical="top"/>
    </xf>
    <xf numFmtId="49" fontId="18" fillId="30" borderId="32" xfId="0" applyNumberFormat="1" applyFont="1" applyFill="1" applyBorder="1" applyAlignment="1">
      <alignment horizontal="left" vertical="top"/>
    </xf>
    <xf numFmtId="49" fontId="18" fillId="30" borderId="231" xfId="0" applyNumberFormat="1" applyFont="1" applyFill="1" applyBorder="1" applyAlignment="1">
      <alignment horizontal="center" vertical="top"/>
    </xf>
    <xf numFmtId="49" fontId="18" fillId="29" borderId="231" xfId="0" applyNumberFormat="1" applyFont="1" applyFill="1" applyBorder="1" applyAlignment="1">
      <alignment horizontal="center" vertical="top"/>
    </xf>
    <xf numFmtId="2" fontId="13" fillId="0" borderId="30" xfId="0" applyNumberFormat="1" applyFont="1" applyBorder="1" applyAlignment="1">
      <alignment horizontal="center" vertical="center"/>
    </xf>
    <xf numFmtId="2" fontId="13" fillId="0" borderId="40" xfId="0" applyNumberFormat="1" applyFont="1" applyBorder="1" applyAlignment="1">
      <alignment horizontal="center" vertical="center"/>
    </xf>
    <xf numFmtId="2" fontId="13" fillId="0" borderId="213" xfId="0" applyNumberFormat="1" applyFont="1" applyBorder="1" applyAlignment="1">
      <alignment horizontal="center" vertical="center"/>
    </xf>
    <xf numFmtId="2" fontId="15" fillId="29" borderId="47" xfId="0" applyNumberFormat="1" applyFont="1" applyFill="1" applyBorder="1" applyAlignment="1">
      <alignment horizontal="center" vertical="top"/>
    </xf>
    <xf numFmtId="2" fontId="15" fillId="29" borderId="33" xfId="0" applyNumberFormat="1" applyFont="1" applyFill="1" applyBorder="1" applyAlignment="1">
      <alignment horizontal="center" vertical="top"/>
    </xf>
    <xf numFmtId="2" fontId="18" fillId="27" borderId="275" xfId="0" applyNumberFormat="1" applyFont="1" applyFill="1" applyBorder="1" applyAlignment="1">
      <alignment horizontal="center" vertical="center"/>
    </xf>
    <xf numFmtId="2" fontId="18" fillId="27" borderId="276" xfId="0" applyNumberFormat="1" applyFont="1" applyFill="1" applyBorder="1" applyAlignment="1">
      <alignment horizontal="center" vertical="center"/>
    </xf>
    <xf numFmtId="2" fontId="13" fillId="26" borderId="277" xfId="0" applyNumberFormat="1" applyFont="1" applyFill="1" applyBorder="1" applyAlignment="1">
      <alignment horizontal="center" vertical="center"/>
    </xf>
    <xf numFmtId="2" fontId="13" fillId="26" borderId="173" xfId="0" applyNumberFormat="1" applyFont="1" applyFill="1" applyBorder="1" applyAlignment="1">
      <alignment horizontal="center" vertical="center"/>
    </xf>
    <xf numFmtId="2" fontId="13" fillId="26" borderId="182" xfId="0" applyNumberFormat="1" applyFont="1" applyFill="1" applyBorder="1" applyAlignment="1">
      <alignment horizontal="center" vertical="center"/>
    </xf>
    <xf numFmtId="2" fontId="18" fillId="27" borderId="33" xfId="0" applyNumberFormat="1" applyFont="1" applyFill="1" applyBorder="1" applyAlignment="1">
      <alignment horizontal="center" vertical="center"/>
    </xf>
    <xf numFmtId="2" fontId="18" fillId="27" borderId="127" xfId="0" applyNumberFormat="1" applyFont="1" applyFill="1" applyBorder="1" applyAlignment="1">
      <alignment horizontal="center" vertical="center"/>
    </xf>
    <xf numFmtId="2" fontId="13" fillId="0" borderId="112" xfId="0" applyNumberFormat="1" applyFont="1" applyBorder="1" applyAlignment="1">
      <alignment horizontal="center" vertical="center"/>
    </xf>
    <xf numFmtId="2" fontId="13" fillId="0" borderId="117" xfId="0" applyNumberFormat="1" applyFont="1" applyBorder="1" applyAlignment="1">
      <alignment horizontal="center" vertical="center"/>
    </xf>
    <xf numFmtId="2" fontId="13" fillId="0" borderId="189" xfId="0" applyNumberFormat="1" applyFont="1" applyBorder="1" applyAlignment="1">
      <alignment horizontal="center" vertical="center"/>
    </xf>
    <xf numFmtId="2" fontId="18" fillId="27" borderId="270" xfId="0" applyNumberFormat="1" applyFont="1" applyFill="1" applyBorder="1" applyAlignment="1">
      <alignment horizontal="center" vertical="center"/>
    </xf>
    <xf numFmtId="2" fontId="18" fillId="27" borderId="271" xfId="0" applyNumberFormat="1" applyFont="1" applyFill="1" applyBorder="1" applyAlignment="1">
      <alignment horizontal="center" vertical="center"/>
    </xf>
    <xf numFmtId="2" fontId="18" fillId="29" borderId="109" xfId="0" applyNumberFormat="1" applyFont="1" applyFill="1" applyBorder="1" applyAlignment="1">
      <alignment horizontal="center" vertical="top"/>
    </xf>
    <xf numFmtId="49" fontId="18" fillId="29" borderId="137" xfId="0" applyNumberFormat="1" applyFont="1" applyFill="1" applyBorder="1" applyAlignment="1">
      <alignment horizontal="left" vertical="top"/>
    </xf>
    <xf numFmtId="49" fontId="18" fillId="29" borderId="122" xfId="0" applyNumberFormat="1" applyFont="1" applyFill="1" applyBorder="1" applyAlignment="1">
      <alignment vertical="top" wrapText="1"/>
    </xf>
    <xf numFmtId="49" fontId="18" fillId="29" borderId="194" xfId="0" applyNumberFormat="1" applyFont="1" applyFill="1" applyBorder="1" applyAlignment="1">
      <alignment vertical="top" wrapText="1"/>
    </xf>
    <xf numFmtId="0" fontId="18" fillId="27" borderId="124" xfId="0" applyFont="1" applyFill="1" applyBorder="1" applyAlignment="1">
      <alignment horizontal="center" vertical="center"/>
    </xf>
    <xf numFmtId="2" fontId="18" fillId="27" borderId="136" xfId="0" applyNumberFormat="1" applyFont="1" applyFill="1" applyBorder="1" applyAlignment="1">
      <alignment horizontal="center" vertical="center"/>
    </xf>
    <xf numFmtId="2" fontId="18" fillId="29" borderId="193" xfId="0" applyNumberFormat="1" applyFont="1" applyFill="1" applyBorder="1" applyAlignment="1">
      <alignment horizontal="center" vertical="top"/>
    </xf>
    <xf numFmtId="2" fontId="18" fillId="29" borderId="146" xfId="0" applyNumberFormat="1" applyFont="1" applyFill="1" applyBorder="1" applyAlignment="1">
      <alignment horizontal="center" vertical="top"/>
    </xf>
    <xf numFmtId="2" fontId="18" fillId="30" borderId="47" xfId="0" applyNumberFormat="1" applyFont="1" applyFill="1" applyBorder="1" applyAlignment="1">
      <alignment horizontal="center" vertical="top"/>
    </xf>
    <xf numFmtId="2" fontId="18" fillId="30" borderId="59" xfId="0" applyNumberFormat="1" applyFont="1" applyFill="1" applyBorder="1" applyAlignment="1">
      <alignment horizontal="center" vertical="top"/>
    </xf>
    <xf numFmtId="49" fontId="18" fillId="30" borderId="63" xfId="0" applyNumberFormat="1" applyFont="1" applyFill="1" applyBorder="1" applyAlignment="1">
      <alignment horizontal="right" vertical="top"/>
    </xf>
    <xf numFmtId="2" fontId="18" fillId="30" borderId="105" xfId="0" applyNumberFormat="1" applyFont="1" applyFill="1" applyBorder="1" applyAlignment="1">
      <alignment horizontal="center" vertical="top"/>
    </xf>
    <xf numFmtId="2" fontId="18" fillId="29" borderId="77" xfId="0" applyNumberFormat="1" applyFont="1" applyFill="1" applyBorder="1" applyAlignment="1">
      <alignment horizontal="center" vertical="top"/>
    </xf>
    <xf numFmtId="2" fontId="18" fillId="29" borderId="105" xfId="0" applyNumberFormat="1" applyFont="1" applyFill="1" applyBorder="1" applyAlignment="1">
      <alignment horizontal="center" vertical="top"/>
    </xf>
    <xf numFmtId="0" fontId="13" fillId="25" borderId="70" xfId="0" applyFont="1" applyFill="1" applyBorder="1" applyAlignment="1">
      <alignment horizontal="center" vertical="center"/>
    </xf>
    <xf numFmtId="2" fontId="13" fillId="26" borderId="97" xfId="0" applyNumberFormat="1" applyFont="1" applyFill="1" applyBorder="1" applyAlignment="1">
      <alignment horizontal="center" vertical="center"/>
    </xf>
    <xf numFmtId="2" fontId="13" fillId="26" borderId="32" xfId="0" applyNumberFormat="1" applyFont="1" applyFill="1" applyBorder="1" applyAlignment="1">
      <alignment horizontal="center" vertical="center"/>
    </xf>
    <xf numFmtId="0" fontId="13" fillId="0" borderId="59" xfId="0" applyFont="1" applyBorder="1" applyAlignment="1">
      <alignment horizontal="center" vertical="center"/>
    </xf>
    <xf numFmtId="2" fontId="13" fillId="0" borderId="59" xfId="0" applyNumberFormat="1" applyFont="1" applyBorder="1" applyAlignment="1">
      <alignment horizontal="center" vertical="center"/>
    </xf>
    <xf numFmtId="0" fontId="13" fillId="0" borderId="81" xfId="0" applyFont="1" applyBorder="1" applyAlignment="1">
      <alignment horizontal="center" vertical="center"/>
    </xf>
    <xf numFmtId="2" fontId="13" fillId="0" borderId="101" xfId="0" applyNumberFormat="1" applyFont="1" applyBorder="1" applyAlignment="1">
      <alignment horizontal="center" vertical="center"/>
    </xf>
    <xf numFmtId="49" fontId="18" fillId="29" borderId="65" xfId="0" applyNumberFormat="1" applyFont="1" applyFill="1" applyBorder="1" applyAlignment="1">
      <alignment horizontal="right" vertical="top"/>
    </xf>
    <xf numFmtId="49" fontId="18" fillId="30" borderId="64" xfId="0" applyNumberFormat="1" applyFont="1" applyFill="1" applyBorder="1" applyAlignment="1">
      <alignment horizontal="center" vertical="top"/>
    </xf>
    <xf numFmtId="49" fontId="18" fillId="30" borderId="64" xfId="0" applyNumberFormat="1" applyFont="1" applyFill="1" applyBorder="1" applyAlignment="1">
      <alignment horizontal="right" vertical="top"/>
    </xf>
    <xf numFmtId="2" fontId="18" fillId="30" borderId="65" xfId="0" applyNumberFormat="1" applyFont="1" applyFill="1" applyBorder="1" applyAlignment="1">
      <alignment horizontal="center" vertical="top"/>
    </xf>
    <xf numFmtId="2" fontId="13" fillId="27" borderId="146" xfId="0" applyNumberFormat="1" applyFont="1" applyFill="1" applyBorder="1" applyAlignment="1">
      <alignment horizontal="center" vertical="center"/>
    </xf>
    <xf numFmtId="49" fontId="18" fillId="29" borderId="32" xfId="0" applyNumberFormat="1" applyFont="1" applyFill="1" applyBorder="1" applyAlignment="1">
      <alignment vertical="top"/>
    </xf>
    <xf numFmtId="49" fontId="18" fillId="29" borderId="63" xfId="0" applyNumberFormat="1" applyFont="1" applyFill="1" applyBorder="1" applyAlignment="1">
      <alignment vertical="top"/>
    </xf>
    <xf numFmtId="49" fontId="18" fillId="29" borderId="105" xfId="0" applyNumberFormat="1" applyFont="1" applyFill="1" applyBorder="1" applyAlignment="1">
      <alignment vertical="top"/>
    </xf>
    <xf numFmtId="2" fontId="18" fillId="31" borderId="41" xfId="0" applyNumberFormat="1" applyFont="1" applyFill="1" applyBorder="1" applyAlignment="1">
      <alignment horizontal="center" vertical="top"/>
    </xf>
    <xf numFmtId="2" fontId="18" fillId="31" borderId="49" xfId="0" applyNumberFormat="1" applyFont="1" applyFill="1" applyBorder="1" applyAlignment="1">
      <alignment horizontal="center" vertical="top"/>
    </xf>
    <xf numFmtId="49" fontId="19" fillId="0" borderId="0" xfId="0" applyNumberFormat="1" applyFont="1" applyAlignment="1">
      <alignment horizontal="right" vertical="top"/>
    </xf>
    <xf numFmtId="2" fontId="35" fillId="0" borderId="0" xfId="0" applyNumberFormat="1" applyFont="1"/>
    <xf numFmtId="2" fontId="18" fillId="28" borderId="65" xfId="0" applyNumberFormat="1" applyFont="1" applyFill="1" applyBorder="1" applyAlignment="1">
      <alignment horizontal="center" vertical="center" wrapText="1"/>
    </xf>
    <xf numFmtId="2" fontId="18" fillId="32" borderId="58" xfId="0" applyNumberFormat="1" applyFont="1" applyFill="1" applyBorder="1" applyAlignment="1">
      <alignment horizontal="center" vertical="center"/>
    </xf>
    <xf numFmtId="2" fontId="18" fillId="32" borderId="65" xfId="0" applyNumberFormat="1" applyFont="1" applyFill="1" applyBorder="1" applyAlignment="1">
      <alignment horizontal="center" vertical="center"/>
    </xf>
    <xf numFmtId="2" fontId="13" fillId="0" borderId="65" xfId="0" applyNumberFormat="1" applyFont="1" applyBorder="1" applyAlignment="1">
      <alignment horizontal="center" vertical="center"/>
    </xf>
    <xf numFmtId="2" fontId="13" fillId="0" borderId="88" xfId="0" applyNumberFormat="1" applyFont="1" applyBorder="1" applyAlignment="1">
      <alignment horizontal="center" vertical="center"/>
    </xf>
    <xf numFmtId="2" fontId="18" fillId="28" borderId="58" xfId="0" applyNumberFormat="1" applyFont="1" applyFill="1" applyBorder="1" applyAlignment="1">
      <alignment horizontal="center" vertical="center"/>
    </xf>
    <xf numFmtId="166" fontId="31" fillId="0" borderId="0" xfId="0" applyNumberFormat="1" applyFont="1"/>
    <xf numFmtId="0" fontId="34" fillId="0" borderId="0" xfId="0" applyFont="1"/>
    <xf numFmtId="0" fontId="34" fillId="0" borderId="0" xfId="0" applyFont="1" applyAlignment="1">
      <alignment horizontal="left"/>
    </xf>
    <xf numFmtId="2" fontId="34" fillId="0" borderId="0" xfId="0" applyNumberFormat="1" applyFont="1"/>
    <xf numFmtId="166" fontId="13" fillId="0" borderId="0" xfId="0" applyNumberFormat="1" applyFont="1" applyAlignment="1">
      <alignment horizontal="center"/>
    </xf>
    <xf numFmtId="166" fontId="34" fillId="0" borderId="0" xfId="0" applyNumberFormat="1" applyFont="1"/>
    <xf numFmtId="0" fontId="34" fillId="0" borderId="0" xfId="0" applyFont="1" applyAlignment="1">
      <alignment horizontal="left" vertical="top"/>
    </xf>
    <xf numFmtId="0" fontId="35" fillId="0" borderId="0" xfId="0" applyFont="1"/>
    <xf numFmtId="0" fontId="34" fillId="0" borderId="0" xfId="0" applyFont="1" applyAlignment="1">
      <alignment wrapText="1"/>
    </xf>
    <xf numFmtId="166" fontId="15" fillId="27" borderId="138" xfId="0" applyNumberFormat="1" applyFont="1" applyFill="1" applyBorder="1" applyAlignment="1">
      <alignment horizontal="center" vertical="center"/>
    </xf>
    <xf numFmtId="166" fontId="13" fillId="25" borderId="25" xfId="0" applyNumberFormat="1" applyFont="1" applyFill="1" applyBorder="1" applyAlignment="1">
      <alignment horizontal="center" vertical="center"/>
    </xf>
    <xf numFmtId="166" fontId="13" fillId="25" borderId="0" xfId="0" applyNumberFormat="1" applyFont="1" applyFill="1" applyAlignment="1">
      <alignment horizontal="center" vertical="center"/>
    </xf>
    <xf numFmtId="166" fontId="15" fillId="27" borderId="176" xfId="0" applyNumberFormat="1" applyFont="1" applyFill="1" applyBorder="1" applyAlignment="1">
      <alignment horizontal="center" vertical="center"/>
    </xf>
    <xf numFmtId="166" fontId="15" fillId="27" borderId="251" xfId="0" applyNumberFormat="1" applyFont="1" applyFill="1" applyBorder="1" applyAlignment="1">
      <alignment horizontal="center" vertical="center"/>
    </xf>
    <xf numFmtId="166" fontId="15" fillId="27" borderId="234" xfId="0" applyNumberFormat="1" applyFont="1" applyFill="1" applyBorder="1" applyAlignment="1">
      <alignment horizontal="center" vertical="center"/>
    </xf>
    <xf numFmtId="166" fontId="13" fillId="25" borderId="15" xfId="0" applyNumberFormat="1" applyFont="1" applyFill="1" applyBorder="1" applyAlignment="1">
      <alignment horizontal="center" vertical="center"/>
    </xf>
    <xf numFmtId="166" fontId="13" fillId="25" borderId="23" xfId="0" applyNumberFormat="1" applyFont="1" applyFill="1" applyBorder="1" applyAlignment="1">
      <alignment horizontal="center" vertical="center"/>
    </xf>
    <xf numFmtId="166" fontId="15" fillId="27" borderId="219" xfId="0" applyNumberFormat="1" applyFont="1" applyFill="1" applyBorder="1" applyAlignment="1">
      <alignment horizontal="center" vertical="center"/>
    </xf>
    <xf numFmtId="166" fontId="15" fillId="27" borderId="178" xfId="0" applyNumberFormat="1" applyFont="1" applyFill="1" applyBorder="1" applyAlignment="1">
      <alignment horizontal="center" vertical="center"/>
    </xf>
    <xf numFmtId="166" fontId="13" fillId="25" borderId="136" xfId="0" applyNumberFormat="1" applyFont="1" applyFill="1" applyBorder="1" applyAlignment="1">
      <alignment horizontal="center" vertical="center"/>
    </xf>
    <xf numFmtId="166" fontId="15" fillId="27" borderId="124" xfId="0" applyNumberFormat="1" applyFont="1" applyFill="1" applyBorder="1" applyAlignment="1">
      <alignment horizontal="center" vertical="center"/>
    </xf>
    <xf numFmtId="2" fontId="18" fillId="27" borderId="235" xfId="0" applyNumberFormat="1" applyFont="1" applyFill="1" applyBorder="1" applyAlignment="1">
      <alignment horizontal="center" vertical="center"/>
    </xf>
    <xf numFmtId="166" fontId="18" fillId="27" borderId="178" xfId="0" applyNumberFormat="1" applyFont="1" applyFill="1" applyBorder="1" applyAlignment="1">
      <alignment horizontal="center" vertical="center"/>
    </xf>
    <xf numFmtId="2" fontId="18" fillId="27" borderId="138" xfId="0" applyNumberFormat="1" applyFont="1" applyFill="1" applyBorder="1" applyAlignment="1">
      <alignment horizontal="center" vertical="center"/>
    </xf>
    <xf numFmtId="166" fontId="13" fillId="25" borderId="160" xfId="0" applyNumberFormat="1" applyFont="1" applyFill="1" applyBorder="1" applyAlignment="1">
      <alignment horizontal="center" vertical="center"/>
    </xf>
    <xf numFmtId="166" fontId="18" fillId="27" borderId="182" xfId="0" applyNumberFormat="1" applyFont="1" applyFill="1" applyBorder="1" applyAlignment="1">
      <alignment horizontal="center" vertical="center"/>
    </xf>
    <xf numFmtId="166" fontId="20" fillId="25" borderId="25" xfId="0" applyNumberFormat="1" applyFont="1" applyFill="1" applyBorder="1" applyAlignment="1">
      <alignment horizontal="center" vertical="center" wrapText="1"/>
    </xf>
    <xf numFmtId="166" fontId="18" fillId="27" borderId="212" xfId="0" applyNumberFormat="1" applyFont="1" applyFill="1" applyBorder="1" applyAlignment="1">
      <alignment horizontal="center" vertical="center"/>
    </xf>
    <xf numFmtId="166" fontId="20" fillId="25" borderId="165" xfId="0" applyNumberFormat="1" applyFont="1" applyFill="1" applyBorder="1" applyAlignment="1">
      <alignment horizontal="center" vertical="center" wrapText="1"/>
    </xf>
    <xf numFmtId="166" fontId="18" fillId="27" borderId="124" xfId="0" applyNumberFormat="1" applyFont="1" applyFill="1" applyBorder="1" applyAlignment="1">
      <alignment horizontal="center" vertical="center"/>
    </xf>
    <xf numFmtId="166" fontId="18" fillId="27" borderId="189" xfId="0" applyNumberFormat="1" applyFont="1" applyFill="1" applyBorder="1" applyAlignment="1">
      <alignment horizontal="center" vertical="center"/>
    </xf>
    <xf numFmtId="166" fontId="20" fillId="25" borderId="142" xfId="0" applyNumberFormat="1" applyFont="1" applyFill="1" applyBorder="1" applyAlignment="1">
      <alignment horizontal="center" vertical="center" wrapText="1"/>
    </xf>
    <xf numFmtId="166" fontId="13" fillId="0" borderId="70" xfId="0" applyNumberFormat="1" applyFont="1" applyBorder="1" applyAlignment="1">
      <alignment horizontal="center" vertical="center"/>
    </xf>
    <xf numFmtId="2" fontId="13" fillId="26" borderId="114" xfId="0" applyNumberFormat="1" applyFont="1" applyFill="1" applyBorder="1" applyAlignment="1">
      <alignment horizontal="center" vertical="center"/>
    </xf>
    <xf numFmtId="2" fontId="18" fillId="27" borderId="49" xfId="0" applyNumberFormat="1" applyFont="1" applyFill="1" applyBorder="1" applyAlignment="1">
      <alignment horizontal="center" vertical="center"/>
    </xf>
    <xf numFmtId="0" fontId="16" fillId="25" borderId="81" xfId="0" applyFont="1" applyFill="1" applyBorder="1" applyAlignment="1">
      <alignment horizontal="center" vertical="center"/>
    </xf>
    <xf numFmtId="2" fontId="13" fillId="25" borderId="81" xfId="0" applyNumberFormat="1" applyFont="1" applyFill="1" applyBorder="1" applyAlignment="1">
      <alignment horizontal="center" vertical="center"/>
    </xf>
    <xf numFmtId="0" fontId="18" fillId="40" borderId="189" xfId="0" applyFont="1" applyFill="1" applyBorder="1" applyAlignment="1">
      <alignment horizontal="center" vertical="center"/>
    </xf>
    <xf numFmtId="2" fontId="18" fillId="40" borderId="171" xfId="0" applyNumberFormat="1" applyFont="1" applyFill="1" applyBorder="1" applyAlignment="1">
      <alignment horizontal="center" vertical="center"/>
    </xf>
    <xf numFmtId="0" fontId="16" fillId="0" borderId="304" xfId="0" applyFont="1" applyBorder="1" applyAlignment="1">
      <alignment horizontal="center" vertical="center"/>
    </xf>
    <xf numFmtId="0" fontId="16" fillId="0" borderId="213" xfId="0" applyFont="1" applyBorder="1" applyAlignment="1">
      <alignment horizontal="center" vertical="center"/>
    </xf>
    <xf numFmtId="0" fontId="18" fillId="28" borderId="189" xfId="0" applyFont="1" applyFill="1" applyBorder="1" applyAlignment="1">
      <alignment horizontal="center" vertical="center"/>
    </xf>
    <xf numFmtId="2" fontId="18" fillId="28" borderId="171" xfId="0" applyNumberFormat="1" applyFont="1" applyFill="1" applyBorder="1" applyAlignment="1">
      <alignment horizontal="center" vertical="center"/>
    </xf>
    <xf numFmtId="2" fontId="18" fillId="28" borderId="186" xfId="0" applyNumberFormat="1" applyFont="1" applyFill="1" applyBorder="1" applyAlignment="1">
      <alignment horizontal="center" vertical="center"/>
    </xf>
    <xf numFmtId="0" fontId="13" fillId="25" borderId="184" xfId="0" applyFont="1" applyFill="1" applyBorder="1" applyAlignment="1">
      <alignment horizontal="center" vertical="center"/>
    </xf>
    <xf numFmtId="2" fontId="13" fillId="26" borderId="144" xfId="0" applyNumberFormat="1" applyFont="1" applyFill="1" applyBorder="1" applyAlignment="1">
      <alignment horizontal="center" vertical="center"/>
    </xf>
    <xf numFmtId="0" fontId="13" fillId="25" borderId="323" xfId="0" applyFont="1" applyFill="1" applyBorder="1" applyAlignment="1">
      <alignment horizontal="center" vertical="center"/>
    </xf>
    <xf numFmtId="0" fontId="13" fillId="0" borderId="101" xfId="0" applyFont="1" applyBorder="1" applyAlignment="1">
      <alignment horizontal="center" vertical="center"/>
    </xf>
    <xf numFmtId="0" fontId="18" fillId="28" borderId="136" xfId="0" applyFont="1" applyFill="1" applyBorder="1" applyAlignment="1">
      <alignment horizontal="center" vertical="center"/>
    </xf>
    <xf numFmtId="2" fontId="18" fillId="28" borderId="185" xfId="0" applyNumberFormat="1" applyFont="1" applyFill="1" applyBorder="1" applyAlignment="1">
      <alignment horizontal="center" vertical="center"/>
    </xf>
    <xf numFmtId="2" fontId="18" fillId="28" borderId="208" xfId="0" applyNumberFormat="1" applyFont="1" applyFill="1" applyBorder="1" applyAlignment="1">
      <alignment horizontal="center" vertical="center"/>
    </xf>
    <xf numFmtId="0" fontId="13" fillId="25" borderId="140" xfId="0" applyFont="1" applyFill="1" applyBorder="1" applyAlignment="1">
      <alignment horizontal="center" vertical="center"/>
    </xf>
    <xf numFmtId="2" fontId="13" fillId="25" borderId="140" xfId="0" applyNumberFormat="1" applyFont="1" applyFill="1" applyBorder="1" applyAlignment="1">
      <alignment horizontal="center" vertical="center"/>
    </xf>
    <xf numFmtId="0" fontId="13" fillId="25" borderId="141" xfId="0" applyFont="1" applyFill="1" applyBorder="1" applyAlignment="1">
      <alignment horizontal="center" vertical="center"/>
    </xf>
    <xf numFmtId="2" fontId="13" fillId="25" borderId="155" xfId="0" applyNumberFormat="1" applyFont="1" applyFill="1" applyBorder="1" applyAlignment="1">
      <alignment horizontal="center" vertical="center"/>
    </xf>
    <xf numFmtId="2" fontId="13" fillId="25" borderId="135" xfId="0" applyNumberFormat="1" applyFont="1" applyFill="1" applyBorder="1" applyAlignment="1">
      <alignment horizontal="center" vertical="center"/>
    </xf>
    <xf numFmtId="2" fontId="13" fillId="25" borderId="300" xfId="0" applyNumberFormat="1" applyFont="1" applyFill="1" applyBorder="1" applyAlignment="1">
      <alignment horizontal="center" vertical="center"/>
    </xf>
    <xf numFmtId="0" fontId="13" fillId="25" borderId="137" xfId="0" applyFont="1" applyFill="1" applyBorder="1" applyAlignment="1">
      <alignment horizontal="center" vertical="center"/>
    </xf>
    <xf numFmtId="0" fontId="13" fillId="25" borderId="150" xfId="0" applyFont="1" applyFill="1" applyBorder="1" applyAlignment="1">
      <alignment horizontal="center" vertical="center"/>
    </xf>
    <xf numFmtId="0" fontId="13" fillId="25" borderId="135" xfId="0" applyFont="1" applyFill="1" applyBorder="1" applyAlignment="1">
      <alignment horizontal="center" vertical="center"/>
    </xf>
    <xf numFmtId="49" fontId="17" fillId="29" borderId="0" xfId="0" applyNumberFormat="1" applyFont="1" applyFill="1" applyAlignment="1">
      <alignment vertical="center"/>
    </xf>
    <xf numFmtId="49" fontId="17" fillId="29" borderId="54" xfId="0" applyNumberFormat="1" applyFont="1" applyFill="1" applyBorder="1" applyAlignment="1">
      <alignment vertical="center"/>
    </xf>
    <xf numFmtId="2" fontId="13" fillId="26" borderId="312" xfId="0" applyNumberFormat="1" applyFont="1" applyFill="1" applyBorder="1" applyAlignment="1">
      <alignment horizontal="center" vertical="center"/>
    </xf>
    <xf numFmtId="2" fontId="13" fillId="26" borderId="121" xfId="0" applyNumberFormat="1" applyFont="1" applyFill="1" applyBorder="1" applyAlignment="1">
      <alignment horizontal="center" vertical="center"/>
    </xf>
    <xf numFmtId="0" fontId="16" fillId="25" borderId="81" xfId="0" applyFont="1" applyFill="1" applyBorder="1" applyAlignment="1">
      <alignment horizontal="center" vertical="center" wrapText="1"/>
    </xf>
    <xf numFmtId="0" fontId="16" fillId="25" borderId="323" xfId="0" applyFont="1" applyFill="1" applyBorder="1" applyAlignment="1">
      <alignment horizontal="center" vertical="center" wrapText="1"/>
    </xf>
    <xf numFmtId="2" fontId="13" fillId="25" borderId="138" xfId="0" applyNumberFormat="1" applyFont="1" applyFill="1" applyBorder="1" applyAlignment="1">
      <alignment horizontal="center" vertical="center"/>
    </xf>
    <xf numFmtId="0" fontId="18" fillId="28" borderId="49" xfId="0" applyFont="1" applyFill="1" applyBorder="1" applyAlignment="1">
      <alignment horizontal="center" vertical="center"/>
    </xf>
    <xf numFmtId="49" fontId="17" fillId="29" borderId="54" xfId="0" applyNumberFormat="1" applyFont="1" applyFill="1" applyBorder="1" applyAlignment="1">
      <alignment horizontal="right" vertical="center"/>
    </xf>
    <xf numFmtId="2" fontId="17" fillId="29" borderId="59" xfId="0" applyNumberFormat="1" applyFont="1" applyFill="1" applyBorder="1" applyAlignment="1">
      <alignment horizontal="center" vertical="center"/>
    </xf>
    <xf numFmtId="49" fontId="32" fillId="29" borderId="77" xfId="0" applyNumberFormat="1" applyFont="1" applyFill="1" applyBorder="1" applyAlignment="1">
      <alignment horizontal="right" vertical="center"/>
    </xf>
    <xf numFmtId="2" fontId="17" fillId="29" borderId="77" xfId="0" applyNumberFormat="1" applyFont="1" applyFill="1" applyBorder="1" applyAlignment="1">
      <alignment horizontal="center" vertical="center"/>
    </xf>
    <xf numFmtId="49" fontId="17" fillId="29" borderId="77" xfId="0" applyNumberFormat="1" applyFont="1" applyFill="1" applyBorder="1" applyAlignment="1">
      <alignment horizontal="center" vertical="center"/>
    </xf>
    <xf numFmtId="49" fontId="17" fillId="29" borderId="105" xfId="0" applyNumberFormat="1" applyFont="1" applyFill="1" applyBorder="1" applyAlignment="1">
      <alignment horizontal="center" vertical="center"/>
    </xf>
    <xf numFmtId="49" fontId="17" fillId="29" borderId="105" xfId="0" applyNumberFormat="1" applyFont="1" applyFill="1" applyBorder="1" applyAlignment="1">
      <alignment horizontal="right" vertical="center"/>
    </xf>
    <xf numFmtId="2" fontId="17" fillId="29" borderId="70" xfId="0" applyNumberFormat="1" applyFont="1" applyFill="1" applyBorder="1" applyAlignment="1">
      <alignment horizontal="center" vertical="center"/>
    </xf>
    <xf numFmtId="49" fontId="17" fillId="29" borderId="77" xfId="0" applyNumberFormat="1" applyFont="1" applyFill="1" applyBorder="1" applyAlignment="1">
      <alignment horizontal="right" vertical="center"/>
    </xf>
    <xf numFmtId="0" fontId="16" fillId="25" borderId="70" xfId="0" applyFont="1" applyFill="1" applyBorder="1" applyAlignment="1">
      <alignment horizontal="center" vertical="center"/>
    </xf>
    <xf numFmtId="2" fontId="13" fillId="26" borderId="108" xfId="0" applyNumberFormat="1" applyFont="1" applyFill="1" applyBorder="1" applyAlignment="1">
      <alignment horizontal="center" vertical="center"/>
    </xf>
    <xf numFmtId="2" fontId="13" fillId="26" borderId="69" xfId="0" applyNumberFormat="1" applyFont="1" applyFill="1" applyBorder="1" applyAlignment="1">
      <alignment horizontal="center" vertical="center"/>
    </xf>
    <xf numFmtId="0" fontId="17" fillId="27" borderId="182" xfId="0" applyFont="1" applyFill="1" applyBorder="1" applyAlignment="1">
      <alignment horizontal="center" vertical="center"/>
    </xf>
    <xf numFmtId="2" fontId="18" fillId="27" borderId="216" xfId="0" applyNumberFormat="1" applyFont="1" applyFill="1" applyBorder="1" applyAlignment="1">
      <alignment horizontal="center" vertical="center"/>
    </xf>
    <xf numFmtId="2" fontId="18" fillId="27" borderId="256" xfId="0" applyNumberFormat="1" applyFont="1" applyFill="1" applyBorder="1" applyAlignment="1">
      <alignment horizontal="center" vertical="center"/>
    </xf>
    <xf numFmtId="0" fontId="14" fillId="0" borderId="164" xfId="0" applyFont="1" applyBorder="1" applyAlignment="1">
      <alignment horizontal="left" vertical="center" wrapText="1"/>
    </xf>
    <xf numFmtId="2" fontId="13" fillId="0" borderId="143" xfId="0" applyNumberFormat="1" applyFont="1" applyBorder="1" applyAlignment="1">
      <alignment horizontal="center" vertical="center"/>
    </xf>
    <xf numFmtId="0" fontId="17" fillId="27" borderId="217" xfId="0" applyFont="1" applyFill="1" applyBorder="1" applyAlignment="1">
      <alignment horizontal="center" vertical="center"/>
    </xf>
    <xf numFmtId="2" fontId="13" fillId="26" borderId="18" xfId="0" applyNumberFormat="1" applyFont="1" applyFill="1" applyBorder="1" applyAlignment="1">
      <alignment horizontal="center" vertical="center"/>
    </xf>
    <xf numFmtId="2" fontId="13" fillId="26" borderId="255" xfId="0" applyNumberFormat="1" applyFont="1" applyFill="1" applyBorder="1" applyAlignment="1">
      <alignment horizontal="center" vertical="center"/>
    </xf>
    <xf numFmtId="2" fontId="13" fillId="26" borderId="140" xfId="0" applyNumberFormat="1" applyFont="1" applyFill="1" applyBorder="1" applyAlignment="1">
      <alignment horizontal="center" vertical="center"/>
    </xf>
    <xf numFmtId="2" fontId="13" fillId="26" borderId="141" xfId="0" applyNumberFormat="1" applyFont="1" applyFill="1" applyBorder="1" applyAlignment="1">
      <alignment horizontal="center" vertical="center"/>
    </xf>
    <xf numFmtId="2" fontId="13" fillId="26" borderId="135" xfId="0" applyNumberFormat="1" applyFont="1" applyFill="1" applyBorder="1" applyAlignment="1">
      <alignment horizontal="center" vertical="center"/>
    </xf>
    <xf numFmtId="0" fontId="16" fillId="25" borderId="136" xfId="0" applyFont="1" applyFill="1" applyBorder="1" applyAlignment="1">
      <alignment horizontal="center" vertical="center"/>
    </xf>
    <xf numFmtId="2" fontId="18" fillId="29" borderId="19" xfId="0" applyNumberFormat="1" applyFont="1" applyFill="1" applyBorder="1" applyAlignment="1">
      <alignment horizontal="center" vertical="center"/>
    </xf>
    <xf numFmtId="2" fontId="18" fillId="29" borderId="10" xfId="0" applyNumberFormat="1" applyFont="1" applyFill="1" applyBorder="1" applyAlignment="1">
      <alignment horizontal="center" vertical="center"/>
    </xf>
    <xf numFmtId="49" fontId="17" fillId="29" borderId="54" xfId="0" applyNumberFormat="1" applyFont="1" applyFill="1" applyBorder="1" applyAlignment="1">
      <alignment horizontal="center" vertical="center"/>
    </xf>
    <xf numFmtId="2" fontId="13" fillId="0" borderId="304" xfId="0" applyNumberFormat="1" applyFont="1" applyBorder="1" applyAlignment="1">
      <alignment horizontal="center" vertical="center"/>
    </xf>
    <xf numFmtId="2" fontId="18" fillId="31" borderId="44" xfId="0" applyNumberFormat="1" applyFont="1" applyFill="1" applyBorder="1" applyAlignment="1">
      <alignment horizontal="center" vertical="center"/>
    </xf>
    <xf numFmtId="2" fontId="18" fillId="31" borderId="98" xfId="0" applyNumberFormat="1" applyFont="1" applyFill="1" applyBorder="1" applyAlignment="1">
      <alignment horizontal="center" vertical="center"/>
    </xf>
    <xf numFmtId="2" fontId="18" fillId="29" borderId="39" xfId="0" applyNumberFormat="1" applyFont="1" applyFill="1" applyBorder="1" applyAlignment="1">
      <alignment horizontal="center" vertical="center"/>
    </xf>
    <xf numFmtId="2" fontId="13" fillId="26" borderId="29" xfId="0" applyNumberFormat="1" applyFont="1" applyFill="1" applyBorder="1" applyAlignment="1">
      <alignment horizontal="center" vertical="center"/>
    </xf>
    <xf numFmtId="2" fontId="13" fillId="26" borderId="31" xfId="0" applyNumberFormat="1" applyFont="1" applyFill="1" applyBorder="1" applyAlignment="1">
      <alignment horizontal="center" vertical="center"/>
    </xf>
    <xf numFmtId="2" fontId="13" fillId="26" borderId="125" xfId="0" applyNumberFormat="1" applyFont="1" applyFill="1" applyBorder="1" applyAlignment="1">
      <alignment horizontal="center" vertical="center"/>
    </xf>
    <xf numFmtId="2" fontId="13" fillId="25" borderId="328" xfId="0" applyNumberFormat="1" applyFont="1" applyFill="1" applyBorder="1" applyAlignment="1">
      <alignment horizontal="center" vertical="center"/>
    </xf>
    <xf numFmtId="2" fontId="18" fillId="27" borderId="318" xfId="0" applyNumberFormat="1" applyFont="1" applyFill="1" applyBorder="1" applyAlignment="1">
      <alignment horizontal="center" vertical="center"/>
    </xf>
    <xf numFmtId="2" fontId="18" fillId="27" borderId="282" xfId="0" applyNumberFormat="1" applyFont="1" applyFill="1" applyBorder="1" applyAlignment="1">
      <alignment horizontal="center" vertical="center"/>
    </xf>
    <xf numFmtId="2" fontId="18" fillId="27" borderId="203" xfId="0" applyNumberFormat="1" applyFont="1" applyFill="1" applyBorder="1" applyAlignment="1">
      <alignment horizontal="center" vertical="center"/>
    </xf>
    <xf numFmtId="2" fontId="13" fillId="25" borderId="171" xfId="0" applyNumberFormat="1" applyFont="1" applyFill="1" applyBorder="1" applyAlignment="1">
      <alignment vertical="center" wrapText="1"/>
    </xf>
    <xf numFmtId="0" fontId="13" fillId="0" borderId="140" xfId="0" applyFont="1" applyBorder="1" applyAlignment="1">
      <alignment horizontal="left" vertical="center" wrapText="1"/>
    </xf>
    <xf numFmtId="0" fontId="13" fillId="25" borderId="92" xfId="0" applyFont="1" applyFill="1" applyBorder="1" applyAlignment="1">
      <alignment horizontal="center" vertical="center"/>
    </xf>
    <xf numFmtId="0" fontId="18" fillId="27" borderId="178" xfId="0" applyFont="1" applyFill="1" applyBorder="1" applyAlignment="1">
      <alignment horizontal="center" vertical="center"/>
    </xf>
    <xf numFmtId="0" fontId="13" fillId="0" borderId="137" xfId="0" applyFont="1" applyBorder="1" applyAlignment="1">
      <alignment horizontal="left" vertical="center" wrapText="1"/>
    </xf>
    <xf numFmtId="2" fontId="13" fillId="25" borderId="184" xfId="0" applyNumberFormat="1" applyFont="1" applyFill="1" applyBorder="1" applyAlignment="1">
      <alignment horizontal="center" vertical="center"/>
    </xf>
    <xf numFmtId="0" fontId="18" fillId="27" borderId="138" xfId="0" applyFont="1" applyFill="1" applyBorder="1" applyAlignment="1">
      <alignment horizontal="center" vertical="center"/>
    </xf>
    <xf numFmtId="0" fontId="13" fillId="25" borderId="126" xfId="0" applyFont="1" applyFill="1" applyBorder="1" applyAlignment="1">
      <alignment horizontal="center" vertical="center"/>
    </xf>
    <xf numFmtId="0" fontId="18" fillId="27" borderId="132" xfId="0" applyFont="1" applyFill="1" applyBorder="1" applyAlignment="1">
      <alignment horizontal="center" vertical="center"/>
    </xf>
    <xf numFmtId="0" fontId="13" fillId="0" borderId="122" xfId="0" applyFont="1" applyBorder="1" applyAlignment="1">
      <alignment vertical="center" wrapText="1"/>
    </xf>
    <xf numFmtId="0" fontId="13" fillId="25" borderId="132" xfId="0" applyFont="1" applyFill="1" applyBorder="1" applyAlignment="1">
      <alignment vertical="center" wrapText="1"/>
    </xf>
    <xf numFmtId="165" fontId="13" fillId="25" borderId="142" xfId="0" applyNumberFormat="1" applyFont="1" applyFill="1" applyBorder="1" applyAlignment="1">
      <alignment horizontal="center" vertical="center"/>
    </xf>
    <xf numFmtId="2" fontId="13" fillId="25" borderId="139" xfId="0" applyNumberFormat="1" applyFont="1" applyFill="1" applyBorder="1" applyAlignment="1">
      <alignment horizontal="center" vertical="center"/>
    </xf>
    <xf numFmtId="0" fontId="13" fillId="25" borderId="142" xfId="0" applyFont="1" applyFill="1" applyBorder="1" applyAlignment="1">
      <alignment horizontal="center" vertical="center"/>
    </xf>
    <xf numFmtId="0" fontId="13" fillId="25" borderId="40" xfId="23" applyFont="1" applyFill="1" applyBorder="1" applyAlignment="1">
      <alignment horizontal="center" vertical="center"/>
    </xf>
    <xf numFmtId="2" fontId="13" fillId="26" borderId="106" xfId="23" applyNumberFormat="1" applyFont="1" applyFill="1" applyBorder="1" applyAlignment="1">
      <alignment horizontal="center" vertical="center"/>
    </xf>
    <xf numFmtId="2" fontId="13" fillId="26" borderId="81" xfId="23" applyNumberFormat="1" applyFont="1" applyFill="1" applyBorder="1" applyAlignment="1">
      <alignment horizontal="center" vertical="center"/>
    </xf>
    <xf numFmtId="0" fontId="18" fillId="27" borderId="124" xfId="23" applyFont="1" applyFill="1" applyBorder="1" applyAlignment="1">
      <alignment horizontal="center" vertical="center"/>
    </xf>
    <xf numFmtId="2" fontId="18" fillId="27" borderId="193" xfId="23" applyNumberFormat="1" applyFont="1" applyFill="1" applyBorder="1" applyAlignment="1">
      <alignment horizontal="center" vertical="center"/>
    </xf>
    <xf numFmtId="2" fontId="18" fillId="27" borderId="146" xfId="23" applyNumberFormat="1" applyFont="1" applyFill="1" applyBorder="1" applyAlignment="1">
      <alignment horizontal="center" vertical="center"/>
    </xf>
    <xf numFmtId="0" fontId="13" fillId="25" borderId="101" xfId="23" applyFont="1" applyFill="1" applyBorder="1" applyAlignment="1">
      <alignment horizontal="center" vertical="center" wrapText="1"/>
    </xf>
    <xf numFmtId="2" fontId="13" fillId="36" borderId="81" xfId="23" applyNumberFormat="1" applyFont="1" applyFill="1" applyBorder="1" applyAlignment="1">
      <alignment horizontal="center" vertical="center"/>
    </xf>
    <xf numFmtId="2" fontId="13" fillId="36" borderId="323" xfId="23" applyNumberFormat="1" applyFont="1" applyFill="1" applyBorder="1" applyAlignment="1">
      <alignment horizontal="center" vertical="center"/>
    </xf>
    <xf numFmtId="2" fontId="18" fillId="27" borderId="202" xfId="23" applyNumberFormat="1" applyFont="1" applyFill="1" applyBorder="1" applyAlignment="1">
      <alignment horizontal="center" vertical="center"/>
    </xf>
    <xf numFmtId="2" fontId="18" fillId="27" borderId="171" xfId="23" applyNumberFormat="1" applyFont="1" applyFill="1" applyBorder="1" applyAlignment="1">
      <alignment horizontal="center" vertical="center"/>
    </xf>
    <xf numFmtId="0" fontId="18" fillId="27" borderId="176" xfId="23" applyFont="1" applyFill="1" applyBorder="1" applyAlignment="1">
      <alignment horizontal="center" vertical="center"/>
    </xf>
    <xf numFmtId="2" fontId="18" fillId="27" borderId="311" xfId="23" applyNumberFormat="1" applyFont="1" applyFill="1" applyBorder="1" applyAlignment="1">
      <alignment horizontal="center" vertical="center"/>
    </xf>
    <xf numFmtId="0" fontId="13" fillId="25" borderId="81" xfId="23" applyFont="1" applyFill="1" applyBorder="1" applyAlignment="1">
      <alignment horizontal="center" vertical="center" wrapText="1"/>
    </xf>
    <xf numFmtId="0" fontId="18" fillId="27" borderId="182" xfId="23" applyFont="1" applyFill="1" applyBorder="1" applyAlignment="1">
      <alignment horizontal="center" vertical="center"/>
    </xf>
    <xf numFmtId="0" fontId="13" fillId="25" borderId="101" xfId="23" applyFont="1" applyFill="1" applyBorder="1" applyAlignment="1">
      <alignment horizontal="center" vertical="center"/>
    </xf>
    <xf numFmtId="2" fontId="13" fillId="26" borderId="324" xfId="23" applyNumberFormat="1" applyFont="1" applyFill="1" applyBorder="1" applyAlignment="1">
      <alignment horizontal="center" vertical="center"/>
    </xf>
    <xf numFmtId="2" fontId="13" fillId="26" borderId="323" xfId="23" applyNumberFormat="1" applyFont="1" applyFill="1" applyBorder="1" applyAlignment="1">
      <alignment horizontal="center" vertical="center"/>
    </xf>
    <xf numFmtId="0" fontId="18" fillId="27" borderId="189" xfId="23" applyFont="1" applyFill="1" applyBorder="1" applyAlignment="1">
      <alignment horizontal="center" vertical="center"/>
    </xf>
    <xf numFmtId="0" fontId="13" fillId="25" borderId="70" xfId="23" applyFont="1" applyFill="1" applyBorder="1" applyAlignment="1">
      <alignment horizontal="center" vertical="center"/>
    </xf>
    <xf numFmtId="0" fontId="18" fillId="27" borderId="58" xfId="23" applyFont="1" applyFill="1" applyBorder="1" applyAlignment="1">
      <alignment horizontal="center" vertical="center"/>
    </xf>
    <xf numFmtId="2" fontId="18" fillId="27" borderId="87" xfId="23" applyNumberFormat="1" applyFont="1" applyFill="1" applyBorder="1" applyAlignment="1">
      <alignment horizontal="center" vertical="center"/>
    </xf>
    <xf numFmtId="0" fontId="13" fillId="25" borderId="37" xfId="0" applyFont="1" applyFill="1" applyBorder="1" applyAlignment="1">
      <alignment horizontal="center" vertical="center"/>
    </xf>
    <xf numFmtId="165" fontId="13" fillId="25" borderId="37" xfId="23" applyNumberFormat="1" applyFont="1" applyFill="1" applyBorder="1" applyAlignment="1">
      <alignment horizontal="center" vertical="center"/>
    </xf>
    <xf numFmtId="0" fontId="13" fillId="25" borderId="35" xfId="0" applyFont="1" applyFill="1" applyBorder="1" applyAlignment="1">
      <alignment horizontal="center" vertical="center"/>
    </xf>
    <xf numFmtId="165" fontId="13" fillId="25" borderId="35" xfId="23" applyNumberFormat="1" applyFont="1" applyFill="1" applyBorder="1" applyAlignment="1">
      <alignment horizontal="center" vertical="center"/>
    </xf>
    <xf numFmtId="1" fontId="13" fillId="0" borderId="143" xfId="0" applyNumberFormat="1" applyFont="1" applyBorder="1" applyAlignment="1">
      <alignment horizontal="left" vertical="center" wrapText="1"/>
    </xf>
    <xf numFmtId="165" fontId="13" fillId="25" borderId="81" xfId="23" applyNumberFormat="1" applyFont="1" applyFill="1" applyBorder="1" applyAlignment="1">
      <alignment horizontal="center" vertical="center"/>
    </xf>
    <xf numFmtId="165" fontId="13" fillId="25" borderId="323" xfId="23" applyNumberFormat="1" applyFont="1" applyFill="1" applyBorder="1" applyAlignment="1">
      <alignment horizontal="center" vertical="center"/>
    </xf>
    <xf numFmtId="0" fontId="13" fillId="25" borderId="232" xfId="0" applyFont="1" applyFill="1" applyBorder="1" applyAlignment="1">
      <alignment horizontal="center" vertical="center"/>
    </xf>
    <xf numFmtId="165" fontId="13" fillId="25" borderId="313" xfId="23" applyNumberFormat="1" applyFont="1" applyFill="1" applyBorder="1" applyAlignment="1">
      <alignment horizontal="center" vertical="center"/>
    </xf>
    <xf numFmtId="0" fontId="13" fillId="25" borderId="303" xfId="0" applyFont="1" applyFill="1" applyBorder="1" applyAlignment="1">
      <alignment horizontal="center" vertical="center"/>
    </xf>
    <xf numFmtId="165" fontId="13" fillId="25" borderId="288" xfId="23" applyNumberFormat="1" applyFont="1" applyFill="1" applyBorder="1" applyAlignment="1">
      <alignment horizontal="center" vertical="center"/>
    </xf>
    <xf numFmtId="0" fontId="13" fillId="35" borderId="83" xfId="23" applyFont="1" applyFill="1" applyBorder="1" applyAlignment="1">
      <alignment horizontal="center" vertical="center"/>
    </xf>
    <xf numFmtId="0" fontId="13" fillId="35" borderId="0" xfId="23" applyFont="1" applyFill="1" applyAlignment="1">
      <alignment horizontal="center" vertical="center"/>
    </xf>
    <xf numFmtId="2" fontId="13" fillId="36" borderId="59" xfId="23" applyNumberFormat="1" applyFont="1" applyFill="1" applyBorder="1" applyAlignment="1">
      <alignment horizontal="center" vertical="center"/>
    </xf>
    <xf numFmtId="49" fontId="13" fillId="35" borderId="0" xfId="23" quotePrefix="1" applyNumberFormat="1" applyFont="1" applyFill="1" applyAlignment="1">
      <alignment horizontal="center" vertical="center"/>
    </xf>
    <xf numFmtId="49" fontId="13" fillId="35" borderId="0" xfId="23" applyNumberFormat="1" applyFont="1" applyFill="1" applyAlignment="1">
      <alignment horizontal="center" vertical="center"/>
    </xf>
    <xf numFmtId="0" fontId="13" fillId="35" borderId="33" xfId="23" applyFont="1" applyFill="1" applyBorder="1" applyAlignment="1">
      <alignment horizontal="center" vertical="center" wrapText="1"/>
    </xf>
    <xf numFmtId="0" fontId="13" fillId="35" borderId="59" xfId="23" applyFont="1" applyFill="1" applyBorder="1" applyAlignment="1">
      <alignment horizontal="center" vertical="center"/>
    </xf>
    <xf numFmtId="2" fontId="13" fillId="36" borderId="109" xfId="23" applyNumberFormat="1" applyFont="1" applyFill="1" applyBorder="1" applyAlignment="1">
      <alignment horizontal="center" vertical="center"/>
    </xf>
    <xf numFmtId="0" fontId="13" fillId="25" borderId="23" xfId="23" applyFont="1" applyFill="1" applyBorder="1" applyAlignment="1">
      <alignment horizontal="center" vertical="center"/>
    </xf>
    <xf numFmtId="166" fontId="13" fillId="26" borderId="106" xfId="23" applyNumberFormat="1" applyFont="1" applyFill="1" applyBorder="1" applyAlignment="1">
      <alignment horizontal="center" vertical="center"/>
    </xf>
    <xf numFmtId="166" fontId="13" fillId="26" borderId="80" xfId="23" applyNumberFormat="1" applyFont="1" applyFill="1" applyBorder="1" applyAlignment="1">
      <alignment horizontal="center" vertical="center"/>
    </xf>
    <xf numFmtId="166" fontId="13" fillId="26" borderId="232" xfId="23" applyNumberFormat="1" applyFont="1" applyFill="1" applyBorder="1" applyAlignment="1">
      <alignment horizontal="center" vertical="center"/>
    </xf>
    <xf numFmtId="0" fontId="18" fillId="27" borderId="203" xfId="23" applyFont="1" applyFill="1" applyBorder="1" applyAlignment="1">
      <alignment horizontal="center" vertical="center"/>
    </xf>
    <xf numFmtId="0" fontId="13" fillId="25" borderId="0" xfId="23" applyFont="1" applyFill="1" applyAlignment="1">
      <alignment horizontal="center" vertical="center"/>
    </xf>
    <xf numFmtId="0" fontId="13" fillId="25" borderId="25" xfId="23" applyFont="1" applyFill="1" applyBorder="1" applyAlignment="1">
      <alignment horizontal="center" vertical="center"/>
    </xf>
    <xf numFmtId="0" fontId="13" fillId="25" borderId="132" xfId="0" applyFont="1" applyFill="1" applyBorder="1" applyAlignment="1">
      <alignment horizontal="center" vertical="center"/>
    </xf>
    <xf numFmtId="1" fontId="13" fillId="0" borderId="180" xfId="0" applyNumberFormat="1" applyFont="1" applyBorder="1" applyAlignment="1">
      <alignment horizontal="left" vertical="center" wrapText="1"/>
    </xf>
    <xf numFmtId="0" fontId="13" fillId="25" borderId="181" xfId="0" applyFont="1" applyFill="1" applyBorder="1" applyAlignment="1">
      <alignment horizontal="center" vertical="center"/>
    </xf>
    <xf numFmtId="1" fontId="13" fillId="0" borderId="164" xfId="0" applyNumberFormat="1" applyFont="1" applyBorder="1" applyAlignment="1">
      <alignment horizontal="left" vertical="center" wrapText="1"/>
    </xf>
    <xf numFmtId="0" fontId="13" fillId="25" borderId="33" xfId="0" applyFont="1" applyFill="1" applyBorder="1" applyAlignment="1">
      <alignment horizontal="center" vertical="center" wrapText="1"/>
    </xf>
    <xf numFmtId="0" fontId="18" fillId="27" borderId="194" xfId="0" applyFont="1" applyFill="1" applyBorder="1" applyAlignment="1">
      <alignment horizontal="center" vertical="center"/>
    </xf>
    <xf numFmtId="49" fontId="13" fillId="0" borderId="126" xfId="0" applyNumberFormat="1" applyFont="1" applyBorder="1" applyAlignment="1">
      <alignment horizontal="left" vertical="center" wrapText="1"/>
    </xf>
    <xf numFmtId="0" fontId="18" fillId="27" borderId="0" xfId="0" applyFont="1" applyFill="1" applyAlignment="1">
      <alignment horizontal="center" vertical="center"/>
    </xf>
    <xf numFmtId="2" fontId="18" fillId="27" borderId="137" xfId="0" applyNumberFormat="1" applyFont="1" applyFill="1" applyBorder="1" applyAlignment="1">
      <alignment horizontal="center" vertical="center"/>
    </xf>
    <xf numFmtId="0" fontId="18" fillId="27" borderId="189" xfId="0" applyFont="1" applyFill="1" applyBorder="1" applyAlignment="1">
      <alignment horizontal="center" vertical="center"/>
    </xf>
    <xf numFmtId="0" fontId="13" fillId="0" borderId="37" xfId="0" applyFont="1" applyBorder="1" applyAlignment="1">
      <alignment horizontal="center" vertical="center"/>
    </xf>
    <xf numFmtId="0" fontId="13" fillId="25" borderId="0" xfId="0" applyFont="1" applyFill="1" applyAlignment="1">
      <alignment horizontal="center" vertical="center"/>
    </xf>
    <xf numFmtId="0" fontId="13" fillId="25" borderId="62" xfId="0" applyFont="1" applyFill="1" applyBorder="1" applyAlignment="1">
      <alignment horizontal="center" vertical="center"/>
    </xf>
    <xf numFmtId="0" fontId="18" fillId="27" borderId="70" xfId="0" applyFont="1" applyFill="1" applyBorder="1" applyAlignment="1">
      <alignment horizontal="center" vertical="center"/>
    </xf>
    <xf numFmtId="0" fontId="13" fillId="0" borderId="83" xfId="0" applyFont="1" applyBorder="1" applyAlignment="1">
      <alignment horizontal="center" vertical="center"/>
    </xf>
    <xf numFmtId="0" fontId="13" fillId="0" borderId="0" xfId="0" applyFont="1" applyAlignment="1">
      <alignment horizontal="center" vertical="center"/>
    </xf>
    <xf numFmtId="0" fontId="13" fillId="25" borderId="164" xfId="0" applyFont="1" applyFill="1" applyBorder="1" applyAlignment="1">
      <alignment horizontal="center" vertical="center"/>
    </xf>
    <xf numFmtId="0" fontId="13" fillId="25" borderId="316" xfId="0" applyFont="1" applyFill="1" applyBorder="1" applyAlignment="1">
      <alignment horizontal="center" vertical="center"/>
    </xf>
    <xf numFmtId="49" fontId="13" fillId="0" borderId="59" xfId="0" applyNumberFormat="1" applyFont="1" applyBorder="1" applyAlignment="1">
      <alignment vertical="center" wrapText="1"/>
    </xf>
    <xf numFmtId="2" fontId="13" fillId="26" borderId="106" xfId="0" applyNumberFormat="1" applyFont="1" applyFill="1" applyBorder="1" applyAlignment="1">
      <alignment horizontal="center" vertical="center"/>
    </xf>
    <xf numFmtId="2" fontId="13" fillId="26" borderId="80" xfId="0" applyNumberFormat="1" applyFont="1" applyFill="1" applyBorder="1" applyAlignment="1">
      <alignment horizontal="center" vertical="center"/>
    </xf>
    <xf numFmtId="0" fontId="13" fillId="0" borderId="25" xfId="0" applyFont="1" applyBorder="1" applyAlignment="1">
      <alignment horizontal="center" vertical="center"/>
    </xf>
    <xf numFmtId="0" fontId="13" fillId="25" borderId="100" xfId="0" applyFont="1" applyFill="1" applyBorder="1" applyAlignment="1">
      <alignment horizontal="center" vertical="center"/>
    </xf>
    <xf numFmtId="0" fontId="18" fillId="27" borderId="274" xfId="0" applyFont="1" applyFill="1" applyBorder="1" applyAlignment="1">
      <alignment horizontal="center" vertical="center"/>
    </xf>
    <xf numFmtId="0" fontId="13" fillId="25" borderId="172" xfId="0" applyFont="1" applyFill="1" applyBorder="1" applyAlignment="1">
      <alignment horizontal="center" vertical="center"/>
    </xf>
    <xf numFmtId="0" fontId="18" fillId="27" borderId="54" xfId="0" applyFont="1" applyFill="1" applyBorder="1" applyAlignment="1">
      <alignment horizontal="center" vertical="center"/>
    </xf>
    <xf numFmtId="0" fontId="18" fillId="27" borderId="278" xfId="0" applyFont="1" applyFill="1" applyBorder="1" applyAlignment="1">
      <alignment horizontal="center" vertical="center"/>
    </xf>
    <xf numFmtId="0" fontId="13" fillId="0" borderId="225" xfId="0" applyFont="1" applyBorder="1" applyAlignment="1">
      <alignment horizontal="center" vertical="center"/>
    </xf>
    <xf numFmtId="2" fontId="13" fillId="0" borderId="225" xfId="0" applyNumberFormat="1" applyFont="1" applyBorder="1" applyAlignment="1">
      <alignment horizontal="center" vertical="center"/>
    </xf>
    <xf numFmtId="0" fontId="13" fillId="0" borderId="137" xfId="0" applyFont="1" applyBorder="1" applyAlignment="1">
      <alignment horizontal="center" vertical="center"/>
    </xf>
    <xf numFmtId="0" fontId="13" fillId="0" borderId="150" xfId="0" applyFont="1" applyBorder="1" applyAlignment="1">
      <alignment horizontal="center" vertical="center"/>
    </xf>
    <xf numFmtId="2" fontId="13" fillId="0" borderId="150" xfId="0" applyNumberFormat="1" applyFont="1" applyBorder="1" applyAlignment="1">
      <alignment horizontal="center" vertical="center"/>
    </xf>
    <xf numFmtId="2" fontId="13" fillId="0" borderId="272" xfId="0" applyNumberFormat="1" applyFont="1" applyBorder="1" applyAlignment="1">
      <alignment horizontal="center" vertical="center"/>
    </xf>
    <xf numFmtId="0" fontId="18" fillId="27" borderId="35" xfId="0" applyFont="1" applyFill="1" applyBorder="1" applyAlignment="1">
      <alignment horizontal="center" vertical="center"/>
    </xf>
    <xf numFmtId="2" fontId="18" fillId="27" borderId="35" xfId="0" applyNumberFormat="1" applyFont="1" applyFill="1" applyBorder="1" applyAlignment="1">
      <alignment horizontal="center" vertical="center"/>
    </xf>
    <xf numFmtId="49" fontId="18" fillId="29" borderId="77" xfId="0" applyNumberFormat="1" applyFont="1" applyFill="1" applyBorder="1" applyAlignment="1">
      <alignment horizontal="center" vertical="center"/>
    </xf>
    <xf numFmtId="49" fontId="18" fillId="29" borderId="63" xfId="0" applyNumberFormat="1" applyFont="1" applyFill="1" applyBorder="1" applyAlignment="1">
      <alignment horizontal="center" vertical="center"/>
    </xf>
    <xf numFmtId="2" fontId="18" fillId="29" borderId="63" xfId="0" applyNumberFormat="1" applyFont="1" applyFill="1" applyBorder="1" applyAlignment="1">
      <alignment horizontal="center" vertical="center"/>
    </xf>
    <xf numFmtId="2" fontId="18" fillId="29" borderId="105" xfId="0" applyNumberFormat="1" applyFont="1" applyFill="1" applyBorder="1" applyAlignment="1">
      <alignment horizontal="center" vertical="center"/>
    </xf>
    <xf numFmtId="49" fontId="13" fillId="25" borderId="122" xfId="0" applyNumberFormat="1" applyFont="1" applyFill="1" applyBorder="1" applyAlignment="1">
      <alignment horizontal="center" vertical="center"/>
    </xf>
    <xf numFmtId="0" fontId="18" fillId="27" borderId="176" xfId="0" applyFont="1" applyFill="1" applyBorder="1" applyAlignment="1">
      <alignment horizontal="center" vertical="center"/>
    </xf>
    <xf numFmtId="0" fontId="18" fillId="27" borderId="122" xfId="0" applyFont="1" applyFill="1" applyBorder="1" applyAlignment="1">
      <alignment horizontal="center" vertical="center"/>
    </xf>
    <xf numFmtId="166" fontId="13" fillId="25" borderId="122" xfId="0" applyNumberFormat="1" applyFont="1" applyFill="1" applyBorder="1" applyAlignment="1">
      <alignment horizontal="center" vertical="center"/>
    </xf>
    <xf numFmtId="166" fontId="29" fillId="25" borderId="0" xfId="0" applyNumberFormat="1" applyFont="1" applyFill="1" applyAlignment="1">
      <alignment horizontal="center" vertical="center"/>
    </xf>
    <xf numFmtId="0" fontId="14" fillId="25" borderId="143" xfId="0" applyFont="1" applyFill="1" applyBorder="1" applyAlignment="1">
      <alignment horizontal="left" vertical="center" wrapText="1"/>
    </xf>
    <xf numFmtId="0" fontId="14" fillId="0" borderId="137" xfId="0" applyFont="1" applyBorder="1" applyAlignment="1">
      <alignment horizontal="left" vertical="center" wrapText="1"/>
    </xf>
    <xf numFmtId="0" fontId="14" fillId="0" borderId="184" xfId="0" applyFont="1" applyBorder="1" applyAlignment="1">
      <alignment vertical="center" wrapText="1"/>
    </xf>
    <xf numFmtId="0" fontId="14" fillId="0" borderId="143" xfId="0" applyFont="1" applyBorder="1" applyAlignment="1">
      <alignment vertical="center" wrapText="1"/>
    </xf>
    <xf numFmtId="0" fontId="14" fillId="0" borderId="150" xfId="0" applyFont="1" applyBorder="1" applyAlignment="1">
      <alignment vertical="center" wrapText="1"/>
    </xf>
    <xf numFmtId="0" fontId="16" fillId="0" borderId="150" xfId="0" applyFont="1" applyBorder="1" applyAlignment="1">
      <alignment horizontal="left" vertical="center" wrapText="1"/>
    </xf>
    <xf numFmtId="0" fontId="14" fillId="25" borderId="164" xfId="0" applyFont="1" applyFill="1" applyBorder="1" applyAlignment="1">
      <alignment horizontal="left" vertical="center" wrapText="1"/>
    </xf>
    <xf numFmtId="0" fontId="13" fillId="0" borderId="142" xfId="0" quotePrefix="1" applyFont="1" applyBorder="1" applyAlignment="1">
      <alignment horizontal="left" vertical="center" wrapText="1"/>
    </xf>
    <xf numFmtId="0" fontId="16" fillId="0" borderId="208" xfId="0" applyFont="1" applyBorder="1" applyAlignment="1">
      <alignment horizontal="left" vertical="center" wrapText="1"/>
    </xf>
    <xf numFmtId="0" fontId="14" fillId="0" borderId="120" xfId="0" applyFont="1" applyBorder="1" applyAlignment="1">
      <alignment horizontal="left" vertical="center" wrapText="1"/>
    </xf>
    <xf numFmtId="0" fontId="14" fillId="0" borderId="169" xfId="0" applyFont="1" applyBorder="1" applyAlignment="1">
      <alignment horizontal="left" vertical="center" wrapText="1"/>
    </xf>
    <xf numFmtId="0" fontId="14" fillId="0" borderId="151" xfId="0" applyFont="1" applyBorder="1" applyAlignment="1">
      <alignment horizontal="left" vertical="center" wrapText="1"/>
    </xf>
    <xf numFmtId="0" fontId="14" fillId="0" borderId="154" xfId="0" applyFont="1" applyBorder="1" applyAlignment="1">
      <alignment horizontal="left" vertical="center" wrapText="1"/>
    </xf>
    <xf numFmtId="0" fontId="14" fillId="0" borderId="154" xfId="0" applyFont="1" applyBorder="1" applyAlignment="1">
      <alignment vertical="center" wrapText="1"/>
    </xf>
    <xf numFmtId="0" fontId="14" fillId="0" borderId="151" xfId="0" applyFont="1" applyBorder="1" applyAlignment="1">
      <alignment vertical="center" wrapText="1"/>
    </xf>
    <xf numFmtId="0" fontId="14" fillId="0" borderId="120" xfId="0" applyFont="1" applyBorder="1" applyAlignment="1">
      <alignment vertical="center" wrapText="1"/>
    </xf>
    <xf numFmtId="0" fontId="16" fillId="0" borderId="120" xfId="0" applyFont="1" applyBorder="1" applyAlignment="1">
      <alignment horizontal="left" vertical="center" wrapText="1"/>
    </xf>
    <xf numFmtId="0" fontId="14" fillId="0" borderId="180" xfId="0" applyFont="1" applyBorder="1" applyAlignment="1">
      <alignment horizontal="left" vertical="center" wrapText="1"/>
    </xf>
    <xf numFmtId="0" fontId="16" fillId="25" borderId="167" xfId="0" applyFont="1" applyFill="1" applyBorder="1" applyAlignment="1">
      <alignment vertical="center" wrapText="1"/>
    </xf>
    <xf numFmtId="0" fontId="16" fillId="25" borderId="164" xfId="0" applyFont="1" applyFill="1" applyBorder="1" applyAlignment="1">
      <alignment vertical="center" wrapText="1"/>
    </xf>
    <xf numFmtId="0" fontId="14" fillId="0" borderId="141" xfId="0" applyFont="1" applyBorder="1" applyAlignment="1">
      <alignment vertical="center" wrapText="1"/>
    </xf>
    <xf numFmtId="0" fontId="14" fillId="0" borderId="139" xfId="0" applyFont="1" applyBorder="1" applyAlignment="1">
      <alignment vertical="center" wrapText="1"/>
    </xf>
    <xf numFmtId="0" fontId="14" fillId="0" borderId="181" xfId="0" applyFont="1" applyBorder="1" applyAlignment="1">
      <alignment vertical="center" wrapText="1"/>
    </xf>
    <xf numFmtId="0" fontId="14" fillId="0" borderId="140" xfId="0" applyFont="1" applyBorder="1" applyAlignment="1">
      <alignment vertical="center" wrapText="1"/>
    </xf>
    <xf numFmtId="0" fontId="13" fillId="25" borderId="279" xfId="0" applyFont="1" applyFill="1" applyBorder="1" applyAlignment="1">
      <alignment horizontal="center" vertical="center"/>
    </xf>
    <xf numFmtId="0" fontId="13" fillId="25" borderId="280" xfId="0" applyFont="1" applyFill="1" applyBorder="1" applyAlignment="1">
      <alignment horizontal="center" vertical="center" wrapText="1"/>
    </xf>
    <xf numFmtId="0" fontId="13" fillId="25" borderId="273" xfId="0" applyFont="1" applyFill="1" applyBorder="1" applyAlignment="1">
      <alignment horizontal="center" vertical="center" wrapText="1"/>
    </xf>
    <xf numFmtId="0" fontId="13" fillId="25" borderId="159" xfId="0" applyFont="1" applyFill="1" applyBorder="1" applyAlignment="1">
      <alignment horizontal="center" vertical="center" wrapText="1"/>
    </xf>
    <xf numFmtId="0" fontId="18" fillId="27" borderId="282" xfId="0" applyFont="1" applyFill="1" applyBorder="1" applyAlignment="1">
      <alignment horizontal="center" vertical="center"/>
    </xf>
    <xf numFmtId="165" fontId="13" fillId="25" borderId="184" xfId="0" applyNumberFormat="1" applyFont="1" applyFill="1" applyBorder="1" applyAlignment="1">
      <alignment horizontal="center" vertical="center"/>
    </xf>
    <xf numFmtId="0" fontId="13" fillId="25" borderId="159" xfId="0" applyFont="1" applyFill="1" applyBorder="1" applyAlignment="1">
      <alignment horizontal="center" vertical="center"/>
    </xf>
    <xf numFmtId="165" fontId="13" fillId="25" borderId="150" xfId="0" applyNumberFormat="1" applyFont="1" applyFill="1" applyBorder="1" applyAlignment="1">
      <alignment horizontal="center" vertical="center"/>
    </xf>
    <xf numFmtId="0" fontId="13" fillId="25" borderId="281" xfId="0" applyFont="1" applyFill="1" applyBorder="1" applyAlignment="1">
      <alignment horizontal="center" vertical="center"/>
    </xf>
    <xf numFmtId="165" fontId="13" fillId="25" borderId="143" xfId="0" applyNumberFormat="1" applyFont="1" applyFill="1" applyBorder="1" applyAlignment="1">
      <alignment horizontal="center" vertical="center"/>
    </xf>
    <xf numFmtId="2" fontId="13" fillId="26" borderId="109" xfId="23" applyNumberFormat="1" applyFont="1" applyFill="1" applyBorder="1" applyAlignment="1">
      <alignment horizontal="center" vertical="center"/>
    </xf>
    <xf numFmtId="2" fontId="13" fillId="26" borderId="59" xfId="23" applyNumberFormat="1" applyFont="1" applyFill="1" applyBorder="1" applyAlignment="1">
      <alignment horizontal="center" vertical="center"/>
    </xf>
    <xf numFmtId="2" fontId="18" fillId="27" borderId="219" xfId="0" applyNumberFormat="1" applyFont="1" applyFill="1" applyBorder="1" applyAlignment="1">
      <alignment horizontal="center" vertical="center"/>
    </xf>
    <xf numFmtId="0" fontId="13" fillId="25" borderId="20" xfId="0" applyFont="1" applyFill="1" applyBorder="1" applyAlignment="1">
      <alignment horizontal="center" vertical="center"/>
    </xf>
    <xf numFmtId="2" fontId="18" fillId="28" borderId="58" xfId="0" applyNumberFormat="1" applyFont="1" applyFill="1" applyBorder="1" applyAlignment="1">
      <alignment horizontal="center" vertical="center" wrapText="1"/>
    </xf>
    <xf numFmtId="0" fontId="18" fillId="28" borderId="58" xfId="0" applyFont="1" applyFill="1" applyBorder="1" applyAlignment="1">
      <alignment horizontal="center" vertical="center" wrapText="1"/>
    </xf>
    <xf numFmtId="165" fontId="13" fillId="25" borderId="330" xfId="0" applyNumberFormat="1" applyFont="1" applyFill="1" applyBorder="1" applyAlignment="1">
      <alignment horizontal="center" vertical="center"/>
    </xf>
    <xf numFmtId="0" fontId="13" fillId="25" borderId="49" xfId="0" applyFont="1" applyFill="1" applyBorder="1" applyAlignment="1">
      <alignment horizontal="center" vertical="center"/>
    </xf>
    <xf numFmtId="2" fontId="13" fillId="27" borderId="235" xfId="0" applyNumberFormat="1" applyFont="1" applyFill="1" applyBorder="1" applyAlignment="1">
      <alignment horizontal="center" vertical="center"/>
    </xf>
    <xf numFmtId="2" fontId="13" fillId="26" borderId="70" xfId="0" applyNumberFormat="1" applyFont="1" applyFill="1" applyBorder="1" applyAlignment="1">
      <alignment horizontal="center" vertical="center"/>
    </xf>
    <xf numFmtId="0" fontId="13" fillId="25" borderId="37" xfId="23" applyFont="1" applyFill="1" applyBorder="1" applyAlignment="1">
      <alignment horizontal="center" vertical="center" wrapText="1"/>
    </xf>
    <xf numFmtId="0" fontId="13" fillId="25" borderId="323" xfId="23" applyFont="1" applyFill="1" applyBorder="1" applyAlignment="1">
      <alignment horizontal="center" vertical="center" wrapText="1"/>
    </xf>
    <xf numFmtId="0" fontId="13" fillId="25" borderId="59" xfId="23" applyFont="1" applyFill="1" applyBorder="1" applyAlignment="1">
      <alignment horizontal="center" vertical="center" wrapText="1"/>
    </xf>
    <xf numFmtId="2" fontId="13" fillId="26" borderId="37" xfId="0" applyNumberFormat="1" applyFont="1" applyFill="1" applyBorder="1" applyAlignment="1">
      <alignment horizontal="center" vertical="center"/>
    </xf>
    <xf numFmtId="2" fontId="13" fillId="26" borderId="86" xfId="0" applyNumberFormat="1" applyFont="1" applyFill="1" applyBorder="1" applyAlignment="1">
      <alignment horizontal="center" vertical="center"/>
    </xf>
    <xf numFmtId="0" fontId="13" fillId="0" borderId="49" xfId="0" applyFont="1" applyBorder="1" applyAlignment="1">
      <alignment horizontal="center" vertical="center"/>
    </xf>
    <xf numFmtId="2" fontId="13" fillId="0" borderId="49" xfId="0" applyNumberFormat="1" applyFont="1" applyBorder="1" applyAlignment="1">
      <alignment horizontal="center" vertical="center"/>
    </xf>
    <xf numFmtId="0" fontId="13" fillId="25" borderId="101" xfId="0" applyFont="1" applyFill="1" applyBorder="1" applyAlignment="1">
      <alignment horizontal="center" vertical="center" wrapText="1"/>
    </xf>
    <xf numFmtId="0" fontId="13" fillId="25" borderId="37" xfId="0" applyFont="1" applyFill="1" applyBorder="1" applyAlignment="1">
      <alignment horizontal="center" vertical="center" wrapText="1"/>
    </xf>
    <xf numFmtId="0" fontId="13" fillId="25" borderId="35" xfId="0" applyFont="1" applyFill="1" applyBorder="1" applyAlignment="1">
      <alignment horizontal="center" vertical="center" wrapText="1"/>
    </xf>
    <xf numFmtId="2" fontId="18" fillId="27" borderId="42" xfId="0" applyNumberFormat="1" applyFont="1" applyFill="1" applyBorder="1" applyAlignment="1">
      <alignment horizontal="center" vertical="center"/>
    </xf>
    <xf numFmtId="2" fontId="18" fillId="27" borderId="76" xfId="0" applyNumberFormat="1" applyFont="1" applyFill="1" applyBorder="1" applyAlignment="1">
      <alignment horizontal="center" vertical="center"/>
    </xf>
    <xf numFmtId="2" fontId="18" fillId="27" borderId="284" xfId="0" applyNumberFormat="1" applyFont="1" applyFill="1" applyBorder="1" applyAlignment="1">
      <alignment horizontal="center" vertical="center"/>
    </xf>
    <xf numFmtId="0" fontId="18" fillId="27" borderId="136" xfId="23" applyFont="1" applyFill="1" applyBorder="1" applyAlignment="1">
      <alignment horizontal="center" vertical="center"/>
    </xf>
    <xf numFmtId="0" fontId="13" fillId="25" borderId="35" xfId="23" applyFont="1" applyFill="1" applyBorder="1" applyAlignment="1">
      <alignment horizontal="center" vertical="center" wrapText="1"/>
    </xf>
    <xf numFmtId="0" fontId="18" fillId="27" borderId="127" xfId="0" applyFont="1" applyFill="1" applyBorder="1" applyAlignment="1">
      <alignment horizontal="center" vertical="center"/>
    </xf>
    <xf numFmtId="0" fontId="13" fillId="0" borderId="50" xfId="0" applyFont="1" applyBorder="1" applyAlignment="1">
      <alignment horizontal="center" vertical="center" wrapText="1"/>
    </xf>
    <xf numFmtId="2" fontId="18" fillId="27" borderId="109" xfId="0" applyNumberFormat="1" applyFont="1" applyFill="1" applyBorder="1" applyAlignment="1">
      <alignment horizontal="center" vertical="center"/>
    </xf>
    <xf numFmtId="2" fontId="13" fillId="26" borderId="331" xfId="0" applyNumberFormat="1" applyFont="1" applyFill="1" applyBorder="1" applyAlignment="1">
      <alignment horizontal="center" vertical="center"/>
    </xf>
    <xf numFmtId="2" fontId="18" fillId="27" borderId="328" xfId="0" applyNumberFormat="1" applyFont="1" applyFill="1" applyBorder="1" applyAlignment="1">
      <alignment horizontal="center" vertical="center"/>
    </xf>
    <xf numFmtId="2" fontId="13" fillId="25" borderId="37" xfId="0" applyNumberFormat="1" applyFont="1" applyFill="1" applyBorder="1" applyAlignment="1">
      <alignment horizontal="center" vertical="center"/>
    </xf>
    <xf numFmtId="2" fontId="13" fillId="25" borderId="323" xfId="0" applyNumberFormat="1" applyFont="1" applyFill="1" applyBorder="1" applyAlignment="1">
      <alignment horizontal="center" vertical="center" wrapText="1"/>
    </xf>
    <xf numFmtId="0" fontId="18" fillId="27" borderId="138" xfId="23" applyFont="1" applyFill="1" applyBorder="1" applyAlignment="1">
      <alignment horizontal="center" vertical="center"/>
    </xf>
    <xf numFmtId="0" fontId="13" fillId="25" borderId="37" xfId="23" applyFont="1" applyFill="1" applyBorder="1" applyAlignment="1">
      <alignment horizontal="center" vertical="center"/>
    </xf>
    <xf numFmtId="0" fontId="13" fillId="25" borderId="35" xfId="23" applyFont="1" applyFill="1" applyBorder="1" applyAlignment="1">
      <alignment horizontal="center" vertical="center"/>
    </xf>
    <xf numFmtId="2" fontId="18" fillId="27" borderId="231" xfId="23" applyNumberFormat="1" applyFont="1" applyFill="1" applyBorder="1" applyAlignment="1">
      <alignment horizontal="center" vertical="center"/>
    </xf>
    <xf numFmtId="2" fontId="18" fillId="27" borderId="182" xfId="23" applyNumberFormat="1" applyFont="1" applyFill="1" applyBorder="1" applyAlignment="1">
      <alignment horizontal="center" vertical="center"/>
    </xf>
    <xf numFmtId="2" fontId="13" fillId="26" borderId="33" xfId="23" applyNumberFormat="1" applyFont="1" applyFill="1" applyBorder="1" applyAlignment="1">
      <alignment horizontal="center" vertical="center"/>
    </xf>
    <xf numFmtId="2" fontId="13" fillId="26" borderId="127" xfId="23" applyNumberFormat="1" applyFont="1" applyFill="1" applyBorder="1" applyAlignment="1">
      <alignment horizontal="center" vertical="center"/>
    </xf>
    <xf numFmtId="2" fontId="18" fillId="27" borderId="178" xfId="23" applyNumberFormat="1" applyFont="1" applyFill="1" applyBorder="1" applyAlignment="1">
      <alignment horizontal="center" vertical="center"/>
    </xf>
    <xf numFmtId="2" fontId="18" fillId="27" borderId="208" xfId="23" applyNumberFormat="1" applyFont="1" applyFill="1" applyBorder="1" applyAlignment="1">
      <alignment horizontal="center" vertical="center"/>
    </xf>
    <xf numFmtId="2" fontId="18" fillId="27" borderId="132" xfId="23" applyNumberFormat="1" applyFont="1" applyFill="1" applyBorder="1" applyAlignment="1">
      <alignment horizontal="center" vertical="center"/>
    </xf>
    <xf numFmtId="2" fontId="13" fillId="26" borderId="37" xfId="23" applyNumberFormat="1" applyFont="1" applyFill="1" applyBorder="1" applyAlignment="1">
      <alignment horizontal="center" vertical="center"/>
    </xf>
    <xf numFmtId="2" fontId="13" fillId="26" borderId="35" xfId="23" applyNumberFormat="1" applyFont="1" applyFill="1" applyBorder="1" applyAlignment="1">
      <alignment horizontal="center" vertical="center"/>
    </xf>
    <xf numFmtId="2" fontId="18" fillId="33" borderId="99" xfId="23" applyNumberFormat="1" applyFont="1" applyFill="1" applyBorder="1" applyAlignment="1">
      <alignment horizontal="center" vertical="top"/>
    </xf>
    <xf numFmtId="2" fontId="18" fillId="33" borderId="49" xfId="23" applyNumberFormat="1" applyFont="1" applyFill="1" applyBorder="1" applyAlignment="1">
      <alignment horizontal="center" vertical="top"/>
    </xf>
    <xf numFmtId="2" fontId="18" fillId="27" borderId="257" xfId="23" applyNumberFormat="1" applyFont="1" applyFill="1" applyBorder="1" applyAlignment="1">
      <alignment horizontal="center" vertical="center"/>
    </xf>
    <xf numFmtId="2" fontId="13" fillId="25" borderId="273" xfId="0" applyNumberFormat="1" applyFont="1" applyFill="1" applyBorder="1" applyAlignment="1">
      <alignment horizontal="center" vertical="center"/>
    </xf>
    <xf numFmtId="0" fontId="13" fillId="0" borderId="59" xfId="0" applyFont="1" applyBorder="1" applyAlignment="1">
      <alignment horizontal="left" vertical="center" wrapText="1"/>
    </xf>
    <xf numFmtId="0" fontId="16" fillId="0" borderId="329" xfId="0" applyFont="1" applyBorder="1" applyAlignment="1">
      <alignment horizontal="left" vertical="center" wrapText="1"/>
    </xf>
    <xf numFmtId="0" fontId="16" fillId="0" borderId="46" xfId="0" applyFont="1" applyBorder="1" applyAlignment="1">
      <alignment horizontal="center" vertical="center"/>
    </xf>
    <xf numFmtId="165" fontId="13" fillId="39" borderId="63" xfId="35" applyNumberFormat="1" applyFont="1" applyFill="1" applyBorder="1" applyAlignment="1">
      <alignment vertical="center" wrapText="1"/>
    </xf>
    <xf numFmtId="0" fontId="13" fillId="0" borderId="58" xfId="0" applyFont="1" applyBorder="1" applyAlignment="1">
      <alignment horizontal="left" vertical="center" wrapText="1"/>
    </xf>
    <xf numFmtId="49" fontId="13" fillId="0" borderId="58" xfId="0" applyNumberFormat="1" applyFont="1" applyBorder="1" applyAlignment="1">
      <alignment horizontal="left" vertical="center" wrapText="1"/>
    </xf>
    <xf numFmtId="2" fontId="18" fillId="27" borderId="335" xfId="0" applyNumberFormat="1" applyFont="1" applyFill="1" applyBorder="1" applyAlignment="1">
      <alignment horizontal="center" vertical="center"/>
    </xf>
    <xf numFmtId="166" fontId="13" fillId="25" borderId="132" xfId="0" applyNumberFormat="1" applyFont="1" applyFill="1" applyBorder="1" applyAlignment="1">
      <alignment horizontal="center" vertical="center"/>
    </xf>
    <xf numFmtId="2" fontId="13" fillId="26" borderId="185" xfId="0" applyNumberFormat="1" applyFont="1" applyFill="1" applyBorder="1" applyAlignment="1">
      <alignment horizontal="center" vertical="center"/>
    </xf>
    <xf numFmtId="166" fontId="15" fillId="27" borderId="336" xfId="0" applyNumberFormat="1" applyFont="1" applyFill="1" applyBorder="1" applyAlignment="1">
      <alignment horizontal="center" vertical="center"/>
    </xf>
    <xf numFmtId="2" fontId="13" fillId="0" borderId="337" xfId="0" applyNumberFormat="1" applyFont="1" applyBorder="1" applyAlignment="1">
      <alignment horizontal="center" vertical="center"/>
    </xf>
    <xf numFmtId="2" fontId="13" fillId="0" borderId="338" xfId="0" applyNumberFormat="1" applyFont="1" applyBorder="1" applyAlignment="1">
      <alignment horizontal="center" vertical="center"/>
    </xf>
    <xf numFmtId="2" fontId="13" fillId="0" borderId="339" xfId="0" applyNumberFormat="1" applyFont="1" applyBorder="1" applyAlignment="1">
      <alignment horizontal="center" vertical="center"/>
    </xf>
    <xf numFmtId="2" fontId="36" fillId="29" borderId="47" xfId="0" applyNumberFormat="1" applyFont="1" applyFill="1" applyBorder="1" applyAlignment="1">
      <alignment horizontal="center" vertical="top"/>
    </xf>
    <xf numFmtId="2" fontId="36" fillId="28" borderId="58" xfId="0" applyNumberFormat="1" applyFont="1" applyFill="1" applyBorder="1" applyAlignment="1">
      <alignment horizontal="center"/>
    </xf>
    <xf numFmtId="2" fontId="11" fillId="26" borderId="289" xfId="0" applyNumberFormat="1" applyFont="1" applyFill="1" applyBorder="1" applyAlignment="1">
      <alignment horizontal="center" vertical="center"/>
    </xf>
    <xf numFmtId="49" fontId="16" fillId="25" borderId="81" xfId="0" applyNumberFormat="1" applyFont="1" applyFill="1" applyBorder="1" applyAlignment="1">
      <alignment horizontal="center" vertical="center"/>
    </xf>
    <xf numFmtId="2" fontId="11" fillId="26" borderId="225" xfId="0" applyNumberFormat="1" applyFont="1" applyFill="1" applyBorder="1" applyAlignment="1">
      <alignment horizontal="center" vertical="center"/>
    </xf>
    <xf numFmtId="0" fontId="13" fillId="0" borderId="83" xfId="0" applyFont="1" applyBorder="1" applyAlignment="1">
      <alignment vertical="center" wrapText="1"/>
    </xf>
    <xf numFmtId="0" fontId="17" fillId="27" borderId="136" xfId="0" applyFont="1" applyFill="1" applyBorder="1" applyAlignment="1">
      <alignment horizontal="center" vertical="center"/>
    </xf>
    <xf numFmtId="2" fontId="18" fillId="27" borderId="283" xfId="0" applyNumberFormat="1" applyFont="1" applyFill="1" applyBorder="1" applyAlignment="1">
      <alignment horizontal="center" vertical="center"/>
    </xf>
    <xf numFmtId="0" fontId="13" fillId="0" borderId="54" xfId="0" applyFont="1" applyBorder="1" applyAlignment="1">
      <alignment horizontal="center" vertical="center"/>
    </xf>
    <xf numFmtId="0" fontId="13" fillId="25" borderId="49" xfId="0" applyFont="1" applyFill="1" applyBorder="1" applyAlignment="1">
      <alignment horizontal="center" vertical="center" wrapText="1"/>
    </xf>
    <xf numFmtId="0" fontId="13" fillId="0" borderId="70" xfId="0" applyFont="1" applyBorder="1" applyAlignment="1">
      <alignment horizontal="center" vertical="center"/>
    </xf>
    <xf numFmtId="0" fontId="13" fillId="0" borderId="58" xfId="0" applyFont="1" applyBorder="1" applyAlignment="1">
      <alignment horizontal="center" vertical="center"/>
    </xf>
    <xf numFmtId="0" fontId="13" fillId="25" borderId="81" xfId="0" applyFont="1" applyFill="1" applyBorder="1" applyAlignment="1">
      <alignment horizontal="center" vertical="center" wrapText="1"/>
    </xf>
    <xf numFmtId="2" fontId="18" fillId="28" borderId="49" xfId="0" applyNumberFormat="1" applyFont="1" applyFill="1" applyBorder="1" applyAlignment="1">
      <alignment horizontal="center" vertical="center"/>
    </xf>
    <xf numFmtId="2" fontId="13" fillId="25" borderId="65" xfId="0" applyNumberFormat="1" applyFont="1" applyFill="1" applyBorder="1" applyAlignment="1">
      <alignment horizontal="center" vertical="center"/>
    </xf>
    <xf numFmtId="0" fontId="16" fillId="25" borderId="58" xfId="0" applyFont="1" applyFill="1" applyBorder="1" applyAlignment="1">
      <alignment horizontal="center" vertical="center"/>
    </xf>
    <xf numFmtId="2" fontId="13" fillId="25" borderId="76" xfId="0" applyNumberFormat="1" applyFont="1" applyFill="1" applyBorder="1" applyAlignment="1">
      <alignment horizontal="center" vertical="center"/>
    </xf>
    <xf numFmtId="2" fontId="11" fillId="26" borderId="30" xfId="0" applyNumberFormat="1" applyFont="1" applyFill="1" applyBorder="1" applyAlignment="1">
      <alignment horizontal="center" vertical="center"/>
    </xf>
    <xf numFmtId="2" fontId="13" fillId="25" borderId="234" xfId="0" applyNumberFormat="1" applyFont="1" applyFill="1" applyBorder="1" applyAlignment="1">
      <alignment horizontal="center" vertical="center" wrapText="1"/>
    </xf>
    <xf numFmtId="2" fontId="13" fillId="0" borderId="54" xfId="0" applyNumberFormat="1" applyFont="1" applyBorder="1" applyAlignment="1">
      <alignment horizontal="center" vertical="center"/>
    </xf>
    <xf numFmtId="0" fontId="13" fillId="25" borderId="54" xfId="0" applyFont="1" applyFill="1" applyBorder="1" applyAlignment="1">
      <alignment horizontal="center" vertical="center" wrapText="1"/>
    </xf>
    <xf numFmtId="165" fontId="13" fillId="39" borderId="323" xfId="35" applyNumberFormat="1" applyFont="1" applyFill="1" applyBorder="1" applyAlignment="1">
      <alignment vertical="center" wrapText="1"/>
    </xf>
    <xf numFmtId="2" fontId="11" fillId="0" borderId="323" xfId="0" applyNumberFormat="1" applyFont="1" applyBorder="1" applyAlignment="1">
      <alignment horizontal="center" vertical="center"/>
    </xf>
    <xf numFmtId="2" fontId="14" fillId="36" borderId="106" xfId="23" applyNumberFormat="1" applyFont="1" applyFill="1" applyBorder="1" applyAlignment="1">
      <alignment horizontal="center" vertical="center"/>
    </xf>
    <xf numFmtId="2" fontId="14" fillId="36" borderId="323" xfId="23" applyNumberFormat="1" applyFont="1" applyFill="1" applyBorder="1" applyAlignment="1">
      <alignment horizontal="center" vertical="center"/>
    </xf>
    <xf numFmtId="2" fontId="18" fillId="37" borderId="87" xfId="23" applyNumberFormat="1" applyFont="1" applyFill="1" applyBorder="1" applyAlignment="1">
      <alignment horizontal="center" vertical="top"/>
    </xf>
    <xf numFmtId="2" fontId="18" fillId="37" borderId="58" xfId="23" applyNumberFormat="1" applyFont="1" applyFill="1" applyBorder="1" applyAlignment="1">
      <alignment horizontal="center" vertical="top"/>
    </xf>
    <xf numFmtId="2" fontId="13" fillId="26" borderId="36" xfId="23" applyNumberFormat="1" applyFont="1" applyFill="1" applyBorder="1" applyAlignment="1">
      <alignment horizontal="center" vertical="center"/>
    </xf>
    <xf numFmtId="2" fontId="18" fillId="33" borderId="55" xfId="23" applyNumberFormat="1" applyFont="1" applyFill="1" applyBorder="1" applyAlignment="1">
      <alignment horizontal="center" vertical="top"/>
    </xf>
    <xf numFmtId="2" fontId="18" fillId="33" borderId="61" xfId="23" applyNumberFormat="1" applyFont="1" applyFill="1" applyBorder="1" applyAlignment="1">
      <alignment horizontal="center" vertical="top"/>
    </xf>
    <xf numFmtId="166" fontId="14" fillId="25" borderId="184" xfId="0" applyNumberFormat="1" applyFont="1" applyFill="1" applyBorder="1" applyAlignment="1">
      <alignment horizontal="center" vertical="center"/>
    </xf>
    <xf numFmtId="2" fontId="14" fillId="26" borderId="161" xfId="0" applyNumberFormat="1" applyFont="1" applyFill="1" applyBorder="1" applyAlignment="1">
      <alignment horizontal="center" vertical="center"/>
    </xf>
    <xf numFmtId="2" fontId="14" fillId="26" borderId="297" xfId="0" applyNumberFormat="1" applyFont="1" applyFill="1" applyBorder="1" applyAlignment="1">
      <alignment horizontal="center" vertical="center"/>
    </xf>
    <xf numFmtId="2" fontId="14" fillId="0" borderId="30" xfId="0" applyNumberFormat="1" applyFont="1" applyBorder="1" applyAlignment="1">
      <alignment horizontal="center" vertical="center"/>
    </xf>
    <xf numFmtId="2" fontId="14" fillId="0" borderId="114" xfId="0" applyNumberFormat="1" applyFont="1" applyBorder="1" applyAlignment="1">
      <alignment horizontal="center" vertical="center"/>
    </xf>
    <xf numFmtId="2" fontId="14" fillId="26" borderId="30" xfId="0" applyNumberFormat="1" applyFont="1" applyFill="1" applyBorder="1" applyAlignment="1">
      <alignment horizontal="center" vertical="center"/>
    </xf>
    <xf numFmtId="2" fontId="14" fillId="26" borderId="114" xfId="0" applyNumberFormat="1" applyFont="1" applyFill="1" applyBorder="1" applyAlignment="1">
      <alignment horizontal="center" vertical="center"/>
    </xf>
    <xf numFmtId="2" fontId="14" fillId="26" borderId="106" xfId="0" applyNumberFormat="1" applyFont="1" applyFill="1" applyBorder="1" applyAlignment="1">
      <alignment horizontal="center" vertical="center"/>
    </xf>
    <xf numFmtId="2" fontId="14" fillId="26" borderId="81" xfId="0" applyNumberFormat="1" applyFont="1" applyFill="1" applyBorder="1" applyAlignment="1">
      <alignment horizontal="center" vertical="center"/>
    </xf>
    <xf numFmtId="2" fontId="14" fillId="26" borderId="109" xfId="0" applyNumberFormat="1" applyFont="1" applyFill="1" applyBorder="1" applyAlignment="1">
      <alignment horizontal="center" vertical="center"/>
    </xf>
    <xf numFmtId="2" fontId="14" fillId="26" borderId="59" xfId="0" applyNumberFormat="1" applyFont="1" applyFill="1" applyBorder="1" applyAlignment="1">
      <alignment horizontal="center" vertical="center"/>
    </xf>
    <xf numFmtId="2" fontId="14" fillId="0" borderId="59" xfId="0" applyNumberFormat="1" applyFont="1" applyBorder="1" applyAlignment="1">
      <alignment horizontal="center" vertical="center"/>
    </xf>
    <xf numFmtId="2" fontId="14" fillId="0" borderId="142" xfId="0" applyNumberFormat="1" applyFont="1" applyBorder="1" applyAlignment="1">
      <alignment horizontal="center" vertical="center"/>
    </xf>
    <xf numFmtId="2" fontId="14" fillId="0" borderId="140" xfId="0" applyNumberFormat="1" applyFont="1" applyBorder="1" applyAlignment="1">
      <alignment horizontal="center" vertical="center"/>
    </xf>
    <xf numFmtId="2" fontId="14" fillId="0" borderId="301" xfId="0" applyNumberFormat="1" applyFont="1" applyBorder="1" applyAlignment="1">
      <alignment horizontal="center" vertical="center"/>
    </xf>
    <xf numFmtId="0" fontId="14" fillId="25" borderId="140" xfId="0" applyFont="1" applyFill="1" applyBorder="1" applyAlignment="1">
      <alignment vertical="center" wrapText="1"/>
    </xf>
    <xf numFmtId="0" fontId="14" fillId="25" borderId="159" xfId="0" applyFont="1" applyFill="1" applyBorder="1" applyAlignment="1">
      <alignment horizontal="left" vertical="center" wrapText="1"/>
    </xf>
    <xf numFmtId="2" fontId="14" fillId="26" borderId="85" xfId="0" applyNumberFormat="1" applyFont="1" applyFill="1" applyBorder="1" applyAlignment="1">
      <alignment horizontal="center" vertical="center"/>
    </xf>
    <xf numFmtId="2" fontId="14" fillId="26" borderId="50" xfId="0" applyNumberFormat="1" applyFont="1" applyFill="1" applyBorder="1" applyAlignment="1">
      <alignment horizontal="center" vertical="center"/>
    </xf>
    <xf numFmtId="2" fontId="14" fillId="0" borderId="50" xfId="0" applyNumberFormat="1" applyFont="1" applyBorder="1" applyAlignment="1">
      <alignment horizontal="center" vertical="center"/>
    </xf>
    <xf numFmtId="2" fontId="14" fillId="0" borderId="37" xfId="0" applyNumberFormat="1" applyFont="1" applyBorder="1" applyAlignment="1">
      <alignment horizontal="center" vertical="center"/>
    </xf>
    <xf numFmtId="2" fontId="14" fillId="0" borderId="47" xfId="0" applyNumberFormat="1" applyFont="1" applyBorder="1" applyAlignment="1">
      <alignment horizontal="center" vertical="center"/>
    </xf>
    <xf numFmtId="2" fontId="14" fillId="0" borderId="58" xfId="0" applyNumberFormat="1" applyFont="1" applyBorder="1" applyAlignment="1">
      <alignment horizontal="center" vertical="center"/>
    </xf>
    <xf numFmtId="0" fontId="14" fillId="0" borderId="122" xfId="0" applyFont="1" applyBorder="1" applyAlignment="1">
      <alignment horizontal="left" vertical="top" wrapText="1"/>
    </xf>
    <xf numFmtId="0" fontId="14" fillId="0" borderId="143" xfId="0" applyFont="1" applyBorder="1" applyAlignment="1">
      <alignment vertical="top" wrapText="1"/>
    </xf>
    <xf numFmtId="2" fontId="14" fillId="0" borderId="124" xfId="0" applyNumberFormat="1" applyFont="1" applyBorder="1" applyAlignment="1">
      <alignment horizontal="center" vertical="center"/>
    </xf>
    <xf numFmtId="49" fontId="14" fillId="0" borderId="169" xfId="0" applyNumberFormat="1" applyFont="1" applyBorder="1" applyAlignment="1">
      <alignment vertical="top" wrapText="1"/>
    </xf>
    <xf numFmtId="49" fontId="14" fillId="0" borderId="151" xfId="0" applyNumberFormat="1" applyFont="1" applyBorder="1" applyAlignment="1">
      <alignment vertical="top" wrapText="1"/>
    </xf>
    <xf numFmtId="49" fontId="14" fillId="0" borderId="154" xfId="0" applyNumberFormat="1" applyFont="1" applyBorder="1" applyAlignment="1">
      <alignment vertical="top" wrapText="1"/>
    </xf>
    <xf numFmtId="49" fontId="14" fillId="0" borderId="120" xfId="0" applyNumberFormat="1" applyFont="1" applyBorder="1" applyAlignment="1">
      <alignment vertical="top" wrapText="1"/>
    </xf>
    <xf numFmtId="2" fontId="14" fillId="26" borderId="80" xfId="0" applyNumberFormat="1" applyFont="1" applyFill="1" applyBorder="1" applyAlignment="1">
      <alignment horizontal="center" vertical="center"/>
    </xf>
    <xf numFmtId="2" fontId="14" fillId="26" borderId="237" xfId="0" applyNumberFormat="1" applyFont="1" applyFill="1" applyBorder="1" applyAlignment="1">
      <alignment horizontal="center" vertical="center"/>
    </xf>
    <xf numFmtId="2" fontId="14" fillId="26" borderId="285" xfId="0" applyNumberFormat="1" applyFont="1" applyFill="1" applyBorder="1" applyAlignment="1">
      <alignment horizontal="center" vertical="center"/>
    </xf>
    <xf numFmtId="2" fontId="14" fillId="26" borderId="286" xfId="0" applyNumberFormat="1" applyFont="1" applyFill="1" applyBorder="1" applyAlignment="1">
      <alignment horizontal="center" vertical="center"/>
    </xf>
    <xf numFmtId="2" fontId="14" fillId="26" borderId="204" xfId="0" applyNumberFormat="1" applyFont="1" applyFill="1" applyBorder="1" applyAlignment="1">
      <alignment horizontal="center" vertical="center"/>
    </xf>
    <xf numFmtId="2" fontId="14" fillId="26" borderId="188" xfId="0" applyNumberFormat="1" applyFont="1" applyFill="1" applyBorder="1" applyAlignment="1">
      <alignment horizontal="center" vertical="center"/>
    </xf>
    <xf numFmtId="2" fontId="14" fillId="26" borderId="185" xfId="0" applyNumberFormat="1" applyFont="1" applyFill="1" applyBorder="1" applyAlignment="1">
      <alignment horizontal="center" vertical="center"/>
    </xf>
    <xf numFmtId="2" fontId="14" fillId="26" borderId="171" xfId="0" applyNumberFormat="1" applyFont="1" applyFill="1" applyBorder="1" applyAlignment="1">
      <alignment horizontal="center" vertical="center"/>
    </xf>
    <xf numFmtId="2" fontId="14" fillId="26" borderId="136" xfId="0" applyNumberFormat="1" applyFont="1" applyFill="1" applyBorder="1" applyAlignment="1">
      <alignment horizontal="center" vertical="center"/>
    </xf>
    <xf numFmtId="2" fontId="14" fillId="26" borderId="150" xfId="0" applyNumberFormat="1" applyFont="1" applyFill="1" applyBorder="1" applyAlignment="1">
      <alignment horizontal="center" vertical="center"/>
    </xf>
    <xf numFmtId="2" fontId="14" fillId="26" borderId="143" xfId="0" applyNumberFormat="1" applyFont="1" applyFill="1" applyBorder="1" applyAlignment="1">
      <alignment horizontal="center" vertical="center"/>
    </xf>
    <xf numFmtId="2" fontId="14" fillId="26" borderId="47" xfId="0" applyNumberFormat="1" applyFont="1" applyFill="1" applyBorder="1" applyAlignment="1">
      <alignment horizontal="center" vertical="center"/>
    </xf>
    <xf numFmtId="0" fontId="14" fillId="25" borderId="49" xfId="0" applyFont="1" applyFill="1" applyBorder="1" applyAlignment="1">
      <alignment horizontal="center" vertical="center"/>
    </xf>
    <xf numFmtId="0" fontId="14" fillId="25" borderId="142" xfId="0" applyFont="1" applyFill="1" applyBorder="1" applyAlignment="1">
      <alignment horizontal="center" vertical="center"/>
    </xf>
    <xf numFmtId="2" fontId="14" fillId="0" borderId="37" xfId="0" applyNumberFormat="1" applyFont="1" applyBorder="1" applyAlignment="1">
      <alignment horizontal="center"/>
    </xf>
    <xf numFmtId="2" fontId="14" fillId="36" borderId="35" xfId="23" applyNumberFormat="1" applyFont="1" applyFill="1" applyBorder="1" applyAlignment="1">
      <alignment horizontal="center" vertical="center"/>
    </xf>
    <xf numFmtId="2" fontId="14" fillId="26" borderId="37" xfId="23" applyNumberFormat="1" applyFont="1" applyFill="1" applyBorder="1" applyAlignment="1">
      <alignment horizontal="center" vertical="center"/>
    </xf>
    <xf numFmtId="2" fontId="14" fillId="26" borderId="106" xfId="23" applyNumberFormat="1" applyFont="1" applyFill="1" applyBorder="1" applyAlignment="1">
      <alignment horizontal="center" vertical="center"/>
    </xf>
    <xf numFmtId="2" fontId="14" fillId="26" borderId="80" xfId="23" applyNumberFormat="1" applyFont="1" applyFill="1" applyBorder="1" applyAlignment="1">
      <alignment horizontal="center" vertical="center"/>
    </xf>
    <xf numFmtId="2" fontId="14" fillId="26" borderId="232" xfId="23" applyNumberFormat="1" applyFont="1" applyFill="1" applyBorder="1" applyAlignment="1">
      <alignment horizontal="center" vertical="center"/>
    </xf>
    <xf numFmtId="2" fontId="14" fillId="26" borderId="226" xfId="23" applyNumberFormat="1" applyFont="1" applyFill="1" applyBorder="1" applyAlignment="1">
      <alignment horizontal="center" vertical="center"/>
    </xf>
    <xf numFmtId="2" fontId="14" fillId="26" borderId="70" xfId="23" applyNumberFormat="1" applyFont="1" applyFill="1" applyBorder="1" applyAlignment="1">
      <alignment horizontal="center" vertical="center"/>
    </xf>
    <xf numFmtId="2" fontId="14" fillId="26" borderId="81" xfId="23" applyNumberFormat="1" applyFont="1" applyFill="1" applyBorder="1" applyAlignment="1">
      <alignment horizontal="center" vertical="center"/>
    </xf>
    <xf numFmtId="2" fontId="14" fillId="26" borderId="109" xfId="23" applyNumberFormat="1" applyFont="1" applyFill="1" applyBorder="1" applyAlignment="1">
      <alignment horizontal="center" vertical="center"/>
    </xf>
    <xf numFmtId="2" fontId="14" fillId="26" borderId="59" xfId="23" applyNumberFormat="1" applyFont="1" applyFill="1" applyBorder="1" applyAlignment="1">
      <alignment horizontal="center" vertical="center"/>
    </xf>
    <xf numFmtId="2" fontId="14" fillId="26" borderId="36" xfId="0" applyNumberFormat="1" applyFont="1" applyFill="1" applyBorder="1" applyAlignment="1">
      <alignment horizontal="center" vertical="center"/>
    </xf>
    <xf numFmtId="2" fontId="14" fillId="26" borderId="302" xfId="0" applyNumberFormat="1" applyFont="1" applyFill="1" applyBorder="1" applyAlignment="1">
      <alignment horizontal="center" vertical="center"/>
    </xf>
    <xf numFmtId="0" fontId="14" fillId="0" borderId="116" xfId="0" applyFont="1" applyBorder="1" applyAlignment="1">
      <alignment horizontal="center" vertical="center"/>
    </xf>
    <xf numFmtId="0" fontId="14" fillId="0" borderId="136" xfId="0" applyFont="1" applyBorder="1" applyAlignment="1">
      <alignment horizontal="center" vertical="center"/>
    </xf>
    <xf numFmtId="2" fontId="14" fillId="0" borderId="136" xfId="0" applyNumberFormat="1" applyFont="1" applyBorder="1" applyAlignment="1">
      <alignment horizontal="center" vertical="center"/>
    </xf>
    <xf numFmtId="2" fontId="14" fillId="0" borderId="189" xfId="0" applyNumberFormat="1" applyFont="1" applyBorder="1" applyAlignment="1">
      <alignment horizontal="center" vertical="center"/>
    </xf>
    <xf numFmtId="0" fontId="14" fillId="0" borderId="137" xfId="0" applyFont="1" applyBorder="1" applyAlignment="1">
      <alignment horizontal="center" vertical="center"/>
    </xf>
    <xf numFmtId="2" fontId="14" fillId="0" borderId="137" xfId="0" applyNumberFormat="1" applyFont="1" applyBorder="1" applyAlignment="1">
      <alignment horizontal="center" vertical="center"/>
    </xf>
    <xf numFmtId="2" fontId="14" fillId="0" borderId="127" xfId="0" applyNumberFormat="1" applyFont="1" applyBorder="1" applyAlignment="1">
      <alignment horizontal="center" vertical="center"/>
    </xf>
    <xf numFmtId="0" fontId="14" fillId="0" borderId="70" xfId="0" applyFont="1" applyBorder="1" applyAlignment="1">
      <alignment horizontal="center" vertical="center"/>
    </xf>
    <xf numFmtId="49" fontId="14" fillId="25" borderId="136" xfId="0" applyNumberFormat="1" applyFont="1" applyFill="1" applyBorder="1" applyAlignment="1">
      <alignment horizontal="center" vertical="center"/>
    </xf>
    <xf numFmtId="165" fontId="13" fillId="25" borderId="59" xfId="23" applyNumberFormat="1" applyFont="1" applyFill="1" applyBorder="1" applyAlignment="1">
      <alignment horizontal="center" vertical="center"/>
    </xf>
    <xf numFmtId="0" fontId="13" fillId="25" borderId="155" xfId="0" applyFont="1" applyFill="1" applyBorder="1" applyAlignment="1">
      <alignment horizontal="center" vertical="center"/>
    </xf>
    <xf numFmtId="0" fontId="13" fillId="25" borderId="180" xfId="0" applyFont="1" applyFill="1" applyBorder="1" applyAlignment="1">
      <alignment horizontal="center" vertical="center"/>
    </xf>
    <xf numFmtId="2" fontId="18" fillId="27" borderId="186" xfId="0" applyNumberFormat="1" applyFont="1" applyFill="1" applyBorder="1" applyAlignment="1">
      <alignment horizontal="center" vertical="center"/>
    </xf>
    <xf numFmtId="2" fontId="18" fillId="29" borderId="128" xfId="0" applyNumberFormat="1" applyFont="1" applyFill="1" applyBorder="1" applyAlignment="1">
      <alignment horizontal="center" vertical="center"/>
    </xf>
    <xf numFmtId="2" fontId="13" fillId="25" borderId="340" xfId="0" applyNumberFormat="1" applyFont="1" applyFill="1" applyBorder="1" applyAlignment="1">
      <alignment horizontal="center" vertical="center" wrapText="1"/>
    </xf>
    <xf numFmtId="2" fontId="11" fillId="27" borderId="171" xfId="0" applyNumberFormat="1" applyFont="1" applyFill="1" applyBorder="1" applyAlignment="1">
      <alignment horizontal="center" vertical="center"/>
    </xf>
    <xf numFmtId="2" fontId="13" fillId="27" borderId="171" xfId="0" applyNumberFormat="1" applyFont="1" applyFill="1" applyBorder="1" applyAlignment="1">
      <alignment horizontal="center" vertical="center"/>
    </xf>
    <xf numFmtId="49" fontId="17" fillId="29" borderId="34" xfId="0" applyNumberFormat="1" applyFont="1" applyFill="1" applyBorder="1" applyAlignment="1">
      <alignment horizontal="center" vertical="top"/>
    </xf>
    <xf numFmtId="49" fontId="17" fillId="29" borderId="33" xfId="0" applyNumberFormat="1" applyFont="1" applyFill="1" applyBorder="1" applyAlignment="1">
      <alignment vertical="top"/>
    </xf>
    <xf numFmtId="49" fontId="17" fillId="29" borderId="138" xfId="0" applyNumberFormat="1" applyFont="1" applyFill="1" applyBorder="1" applyAlignment="1">
      <alignment vertical="top"/>
    </xf>
    <xf numFmtId="49" fontId="17" fillId="29" borderId="156" xfId="0" applyNumberFormat="1" applyFont="1" applyFill="1" applyBorder="1" applyAlignment="1">
      <alignment vertical="center"/>
    </xf>
    <xf numFmtId="1" fontId="13" fillId="0" borderId="184" xfId="0" applyNumberFormat="1" applyFont="1" applyBorder="1" applyAlignment="1">
      <alignment horizontal="left" vertical="center" wrapText="1"/>
    </xf>
    <xf numFmtId="166" fontId="15" fillId="27" borderId="136" xfId="0" applyNumberFormat="1" applyFont="1" applyFill="1" applyBorder="1" applyAlignment="1">
      <alignment horizontal="center" vertical="center"/>
    </xf>
    <xf numFmtId="1" fontId="13" fillId="0" borderId="150" xfId="0" applyNumberFormat="1" applyFont="1" applyBorder="1" applyAlignment="1">
      <alignment horizontal="left" vertical="center" wrapText="1"/>
    </xf>
    <xf numFmtId="0" fontId="13" fillId="25" borderId="144" xfId="0" applyFont="1" applyFill="1" applyBorder="1" applyAlignment="1">
      <alignment horizontal="center" vertical="center"/>
    </xf>
    <xf numFmtId="2" fontId="13" fillId="25" borderId="126" xfId="0" applyNumberFormat="1" applyFont="1" applyFill="1" applyBorder="1" applyAlignment="1">
      <alignment horizontal="center" vertical="center"/>
    </xf>
    <xf numFmtId="0" fontId="13" fillId="25" borderId="237" xfId="0" applyFont="1" applyFill="1" applyBorder="1" applyAlignment="1">
      <alignment horizontal="center" vertical="center"/>
    </xf>
    <xf numFmtId="165" fontId="13" fillId="25" borderId="140" xfId="23" applyNumberFormat="1" applyFont="1" applyFill="1" applyBorder="1" applyAlignment="1">
      <alignment horizontal="center" vertical="center"/>
    </xf>
    <xf numFmtId="165" fontId="13" fillId="25" borderId="135" xfId="23" applyNumberFormat="1" applyFont="1" applyFill="1" applyBorder="1" applyAlignment="1">
      <alignment horizontal="center" vertical="center"/>
    </xf>
    <xf numFmtId="165" fontId="13" fillId="25" borderId="142" xfId="23" applyNumberFormat="1" applyFont="1" applyFill="1" applyBorder="1" applyAlignment="1">
      <alignment horizontal="center" vertical="center"/>
    </xf>
    <xf numFmtId="165" fontId="13" fillId="25" borderId="144" xfId="23" applyNumberFormat="1" applyFont="1" applyFill="1" applyBorder="1" applyAlignment="1">
      <alignment horizontal="center" vertical="center"/>
    </xf>
    <xf numFmtId="2" fontId="18" fillId="40" borderId="49" xfId="23" applyNumberFormat="1" applyFont="1" applyFill="1" applyBorder="1" applyAlignment="1">
      <alignment horizontal="center" vertical="center"/>
    </xf>
    <xf numFmtId="49" fontId="18" fillId="30" borderId="146" xfId="0" applyNumberFormat="1" applyFont="1" applyFill="1" applyBorder="1" applyAlignment="1">
      <alignment horizontal="left" vertical="top"/>
    </xf>
    <xf numFmtId="49" fontId="18" fillId="29" borderId="146" xfId="0" applyNumberFormat="1" applyFont="1" applyFill="1" applyBorder="1" applyAlignment="1">
      <alignment horizontal="left" vertical="top"/>
    </xf>
    <xf numFmtId="165" fontId="13" fillId="25" borderId="140" xfId="0" applyNumberFormat="1" applyFont="1" applyFill="1" applyBorder="1" applyAlignment="1">
      <alignment horizontal="center" vertical="center"/>
    </xf>
    <xf numFmtId="165" fontId="13" fillId="25" borderId="144" xfId="0" applyNumberFormat="1" applyFont="1" applyFill="1" applyBorder="1" applyAlignment="1">
      <alignment horizontal="center" vertical="center"/>
    </xf>
    <xf numFmtId="165" fontId="13" fillId="25" borderId="135" xfId="0" applyNumberFormat="1" applyFont="1" applyFill="1" applyBorder="1" applyAlignment="1">
      <alignment horizontal="center" vertical="center"/>
    </xf>
    <xf numFmtId="165" fontId="13" fillId="25" borderId="139" xfId="0" applyNumberFormat="1" applyFont="1" applyFill="1" applyBorder="1" applyAlignment="1">
      <alignment horizontal="center" vertical="center"/>
    </xf>
    <xf numFmtId="165" fontId="13" fillId="25" borderId="141" xfId="0" applyNumberFormat="1" applyFont="1" applyFill="1" applyBorder="1" applyAlignment="1">
      <alignment horizontal="center" vertical="center"/>
    </xf>
    <xf numFmtId="0" fontId="13" fillId="25" borderId="143" xfId="0" applyFont="1" applyFill="1" applyBorder="1" applyAlignment="1">
      <alignment horizontal="center" vertical="center"/>
    </xf>
    <xf numFmtId="0" fontId="13" fillId="25" borderId="156" xfId="0" applyFont="1" applyFill="1" applyBorder="1" applyAlignment="1">
      <alignment horizontal="center" vertical="center"/>
    </xf>
    <xf numFmtId="165" fontId="13" fillId="0" borderId="81" xfId="35" applyNumberFormat="1" applyFont="1" applyBorder="1" applyAlignment="1">
      <alignment horizontal="left" vertical="center" wrapText="1"/>
    </xf>
    <xf numFmtId="2" fontId="13" fillId="25" borderId="342" xfId="0" applyNumberFormat="1" applyFont="1" applyFill="1" applyBorder="1" applyAlignment="1">
      <alignment horizontal="center" vertical="center"/>
    </xf>
    <xf numFmtId="2" fontId="13" fillId="25" borderId="343" xfId="0" applyNumberFormat="1" applyFont="1" applyFill="1" applyBorder="1" applyAlignment="1">
      <alignment horizontal="center" vertical="center"/>
    </xf>
    <xf numFmtId="2" fontId="16" fillId="25" borderId="140" xfId="0" applyNumberFormat="1" applyFont="1" applyFill="1" applyBorder="1" applyAlignment="1">
      <alignment horizontal="center" vertical="center"/>
    </xf>
    <xf numFmtId="49" fontId="16" fillId="25" borderId="142" xfId="0" applyNumberFormat="1" applyFont="1" applyFill="1" applyBorder="1" applyAlignment="1">
      <alignment horizontal="center" vertical="center"/>
    </xf>
    <xf numFmtId="49" fontId="16" fillId="25" borderId="143" xfId="0" applyNumberFormat="1" applyFont="1" applyFill="1" applyBorder="1" applyAlignment="1">
      <alignment horizontal="center" vertical="center"/>
    </xf>
    <xf numFmtId="49" fontId="16" fillId="25" borderId="144" xfId="0" applyNumberFormat="1" applyFont="1" applyFill="1" applyBorder="1" applyAlignment="1">
      <alignment horizontal="center" vertical="center"/>
    </xf>
    <xf numFmtId="2" fontId="16" fillId="25" borderId="142" xfId="0" applyNumberFormat="1" applyFont="1" applyFill="1" applyBorder="1" applyAlignment="1">
      <alignment horizontal="center" vertical="center"/>
    </xf>
    <xf numFmtId="2" fontId="16" fillId="25" borderId="143" xfId="0" applyNumberFormat="1" applyFont="1" applyFill="1" applyBorder="1" applyAlignment="1">
      <alignment horizontal="center" vertical="center"/>
    </xf>
    <xf numFmtId="2" fontId="16" fillId="25" borderId="144" xfId="0" applyNumberFormat="1" applyFont="1" applyFill="1" applyBorder="1" applyAlignment="1">
      <alignment horizontal="center" vertical="center"/>
    </xf>
    <xf numFmtId="49" fontId="18" fillId="30" borderId="182" xfId="0" applyNumberFormat="1" applyFont="1" applyFill="1" applyBorder="1" applyAlignment="1">
      <alignment horizontal="center" vertical="top"/>
    </xf>
    <xf numFmtId="2" fontId="18" fillId="29" borderId="216" xfId="0" applyNumberFormat="1" applyFont="1" applyFill="1" applyBorder="1" applyAlignment="1">
      <alignment horizontal="center" vertical="top"/>
    </xf>
    <xf numFmtId="2" fontId="18" fillId="29" borderId="256" xfId="0" applyNumberFormat="1" applyFont="1" applyFill="1" applyBorder="1" applyAlignment="1">
      <alignment horizontal="center" vertical="top"/>
    </xf>
    <xf numFmtId="2" fontId="18" fillId="29" borderId="178" xfId="0" applyNumberFormat="1" applyFont="1" applyFill="1" applyBorder="1" applyAlignment="1">
      <alignment horizontal="center" vertical="top"/>
    </xf>
    <xf numFmtId="0" fontId="17" fillId="27" borderId="189" xfId="0" applyFont="1" applyFill="1" applyBorder="1" applyAlignment="1">
      <alignment horizontal="center" vertical="center"/>
    </xf>
    <xf numFmtId="2" fontId="18" fillId="27" borderId="346" xfId="0" applyNumberFormat="1" applyFont="1" applyFill="1" applyBorder="1" applyAlignment="1">
      <alignment horizontal="center" vertical="center"/>
    </xf>
    <xf numFmtId="2" fontId="18" fillId="27" borderId="347" xfId="0" applyNumberFormat="1" applyFont="1" applyFill="1" applyBorder="1" applyAlignment="1">
      <alignment horizontal="center" vertical="center"/>
    </xf>
    <xf numFmtId="49" fontId="17" fillId="29" borderId="34" xfId="0" applyNumberFormat="1" applyFont="1" applyFill="1" applyBorder="1" applyAlignment="1">
      <alignment horizontal="left" vertical="top"/>
    </xf>
    <xf numFmtId="49" fontId="17" fillId="29" borderId="64" xfId="0" applyNumberFormat="1" applyFont="1" applyFill="1" applyBorder="1" applyAlignment="1">
      <alignment horizontal="center" vertical="top"/>
    </xf>
    <xf numFmtId="2" fontId="17" fillId="29" borderId="64" xfId="0" applyNumberFormat="1" applyFont="1" applyFill="1" applyBorder="1" applyAlignment="1">
      <alignment horizontal="center" vertical="top"/>
    </xf>
    <xf numFmtId="0" fontId="16" fillId="0" borderId="182" xfId="0" applyFont="1" applyBorder="1" applyAlignment="1">
      <alignment horizontal="center" vertical="center"/>
    </xf>
    <xf numFmtId="2" fontId="13" fillId="0" borderId="216" xfId="0" applyNumberFormat="1" applyFont="1" applyBorder="1" applyAlignment="1">
      <alignment horizontal="center" vertical="center"/>
    </xf>
    <xf numFmtId="2" fontId="13" fillId="0" borderId="327" xfId="0" applyNumberFormat="1" applyFont="1" applyBorder="1" applyAlignment="1">
      <alignment horizontal="center" vertical="center"/>
    </xf>
    <xf numFmtId="49" fontId="17" fillId="29" borderId="63" xfId="0" applyNumberFormat="1" applyFont="1" applyFill="1" applyBorder="1" applyAlignment="1">
      <alignment horizontal="center" vertical="top"/>
    </xf>
    <xf numFmtId="2" fontId="17" fillId="29" borderId="63" xfId="0" applyNumberFormat="1" applyFont="1" applyFill="1" applyBorder="1" applyAlignment="1">
      <alignment horizontal="center" vertical="center"/>
    </xf>
    <xf numFmtId="49" fontId="17" fillId="29" borderId="63" xfId="0" applyNumberFormat="1" applyFont="1" applyFill="1" applyBorder="1" applyAlignment="1">
      <alignment horizontal="center" vertical="center"/>
    </xf>
    <xf numFmtId="0" fontId="17" fillId="27" borderId="128" xfId="0" applyFont="1" applyFill="1" applyBorder="1" applyAlignment="1">
      <alignment horizontal="center" vertical="center"/>
    </xf>
    <xf numFmtId="2" fontId="18" fillId="27" borderId="348" xfId="0" applyNumberFormat="1" applyFont="1" applyFill="1" applyBorder="1" applyAlignment="1">
      <alignment horizontal="center" vertical="center"/>
    </xf>
    <xf numFmtId="2" fontId="18" fillId="27" borderId="349" xfId="0" applyNumberFormat="1" applyFont="1" applyFill="1" applyBorder="1" applyAlignment="1">
      <alignment horizontal="center" vertical="center"/>
    </xf>
    <xf numFmtId="49" fontId="16" fillId="25" borderId="150" xfId="0" applyNumberFormat="1" applyFont="1" applyFill="1" applyBorder="1" applyAlignment="1">
      <alignment horizontal="center" vertical="center"/>
    </xf>
    <xf numFmtId="2" fontId="16" fillId="25" borderId="150" xfId="0" applyNumberFormat="1" applyFont="1" applyFill="1" applyBorder="1" applyAlignment="1">
      <alignment horizontal="center" vertical="center"/>
    </xf>
    <xf numFmtId="2" fontId="18" fillId="27" borderId="132" xfId="0" applyNumberFormat="1" applyFont="1" applyFill="1" applyBorder="1" applyAlignment="1">
      <alignment horizontal="center" vertical="center"/>
    </xf>
    <xf numFmtId="0" fontId="18" fillId="28" borderId="217" xfId="0" applyFont="1" applyFill="1" applyBorder="1" applyAlignment="1">
      <alignment horizontal="center" vertical="center"/>
    </xf>
    <xf numFmtId="0" fontId="16" fillId="25" borderId="247" xfId="0" applyFont="1" applyFill="1" applyBorder="1" applyAlignment="1">
      <alignment horizontal="center" vertical="center"/>
    </xf>
    <xf numFmtId="0" fontId="16" fillId="25" borderId="252" xfId="0" applyFont="1" applyFill="1" applyBorder="1" applyAlignment="1">
      <alignment horizontal="center" vertical="center"/>
    </xf>
    <xf numFmtId="2" fontId="18" fillId="27" borderId="311" xfId="0" applyNumberFormat="1" applyFont="1" applyFill="1" applyBorder="1" applyAlignment="1">
      <alignment horizontal="center" vertical="center"/>
    </xf>
    <xf numFmtId="2" fontId="13" fillId="26" borderId="248" xfId="0" applyNumberFormat="1" applyFont="1" applyFill="1" applyBorder="1" applyAlignment="1">
      <alignment horizontal="center" vertical="center"/>
    </xf>
    <xf numFmtId="2" fontId="13" fillId="26" borderId="250" xfId="0" applyNumberFormat="1" applyFont="1" applyFill="1" applyBorder="1" applyAlignment="1">
      <alignment horizontal="center" vertical="center"/>
    </xf>
    <xf numFmtId="0" fontId="13" fillId="25" borderId="144" xfId="0" applyFont="1" applyFill="1" applyBorder="1" applyAlignment="1">
      <alignment horizontal="center" vertical="center" wrapText="1"/>
    </xf>
    <xf numFmtId="2" fontId="13" fillId="26" borderId="350" xfId="0" applyNumberFormat="1" applyFont="1" applyFill="1" applyBorder="1" applyAlignment="1">
      <alignment horizontal="center" vertical="center"/>
    </xf>
    <xf numFmtId="0" fontId="13" fillId="25" borderId="183" xfId="0" applyFont="1" applyFill="1" applyBorder="1" applyAlignment="1">
      <alignment horizontal="center" vertical="center" wrapText="1"/>
    </xf>
    <xf numFmtId="0" fontId="13" fillId="25" borderId="170" xfId="0" applyFont="1" applyFill="1" applyBorder="1" applyAlignment="1">
      <alignment horizontal="center" vertical="center" wrapText="1"/>
    </xf>
    <xf numFmtId="2" fontId="13" fillId="25" borderId="178" xfId="0" applyNumberFormat="1" applyFont="1" applyFill="1" applyBorder="1" applyAlignment="1">
      <alignment horizontal="center" vertical="center"/>
    </xf>
    <xf numFmtId="2" fontId="18" fillId="28" borderId="70" xfId="0" applyNumberFormat="1" applyFont="1" applyFill="1" applyBorder="1" applyAlignment="1">
      <alignment horizontal="center" vertical="center"/>
    </xf>
    <xf numFmtId="2" fontId="13" fillId="26" borderId="133" xfId="0" applyNumberFormat="1" applyFont="1" applyFill="1" applyBorder="1" applyAlignment="1">
      <alignment horizontal="center" vertical="center"/>
    </xf>
    <xf numFmtId="0" fontId="18" fillId="28" borderId="182" xfId="0" applyFont="1" applyFill="1" applyBorder="1" applyAlignment="1">
      <alignment horizontal="center" vertical="center"/>
    </xf>
    <xf numFmtId="2" fontId="18" fillId="28" borderId="125" xfId="0" applyNumberFormat="1" applyFont="1" applyFill="1" applyBorder="1" applyAlignment="1">
      <alignment horizontal="center" vertical="center"/>
    </xf>
    <xf numFmtId="2" fontId="13" fillId="26" borderId="152" xfId="0" applyNumberFormat="1" applyFont="1" applyFill="1" applyBorder="1" applyAlignment="1">
      <alignment horizontal="center" vertical="center"/>
    </xf>
    <xf numFmtId="2" fontId="13" fillId="26" borderId="119" xfId="0" applyNumberFormat="1" applyFont="1" applyFill="1" applyBorder="1" applyAlignment="1">
      <alignment horizontal="center" vertical="center"/>
    </xf>
    <xf numFmtId="0" fontId="13" fillId="25" borderId="50" xfId="0" applyFont="1" applyFill="1" applyBorder="1" applyAlignment="1">
      <alignment horizontal="center" vertical="center"/>
    </xf>
    <xf numFmtId="0" fontId="13" fillId="25" borderId="325" xfId="0" applyFont="1" applyFill="1" applyBorder="1" applyAlignment="1">
      <alignment horizontal="center" vertical="center"/>
    </xf>
    <xf numFmtId="0" fontId="13" fillId="25" borderId="259" xfId="0" applyFont="1" applyFill="1" applyBorder="1" applyAlignment="1">
      <alignment horizontal="center" vertical="center"/>
    </xf>
    <xf numFmtId="0" fontId="13" fillId="25" borderId="294" xfId="0" applyFont="1" applyFill="1" applyBorder="1" applyAlignment="1">
      <alignment horizontal="center" vertical="center"/>
    </xf>
    <xf numFmtId="0" fontId="13" fillId="25" borderId="351" xfId="0" applyFont="1" applyFill="1" applyBorder="1" applyAlignment="1">
      <alignment horizontal="center" vertical="center"/>
    </xf>
    <xf numFmtId="2" fontId="13" fillId="0" borderId="140" xfId="0" applyNumberFormat="1" applyFont="1" applyBorder="1" applyAlignment="1">
      <alignment horizontal="center" vertical="center"/>
    </xf>
    <xf numFmtId="2" fontId="13" fillId="0" borderId="141" xfId="0" applyNumberFormat="1" applyFont="1" applyBorder="1" applyAlignment="1">
      <alignment horizontal="center" vertical="center"/>
    </xf>
    <xf numFmtId="2" fontId="13" fillId="0" borderId="135" xfId="0" applyNumberFormat="1" applyFont="1" applyBorder="1" applyAlignment="1">
      <alignment horizontal="center" vertical="center"/>
    </xf>
    <xf numFmtId="0" fontId="16" fillId="0" borderId="136" xfId="0" applyFont="1" applyBorder="1" applyAlignment="1">
      <alignment horizontal="center" vertical="center"/>
    </xf>
    <xf numFmtId="0" fontId="16" fillId="0" borderId="143" xfId="0" applyFont="1" applyBorder="1" applyAlignment="1">
      <alignment horizontal="center" vertical="center"/>
    </xf>
    <xf numFmtId="0" fontId="16" fillId="0" borderId="254" xfId="0" applyFont="1" applyBorder="1" applyAlignment="1">
      <alignment horizontal="center" vertical="center"/>
    </xf>
    <xf numFmtId="0" fontId="16" fillId="0" borderId="352" xfId="0" applyFont="1" applyBorder="1" applyAlignment="1">
      <alignment horizontal="center" vertical="center"/>
    </xf>
    <xf numFmtId="0" fontId="16" fillId="0" borderId="144" xfId="0" applyFont="1" applyBorder="1" applyAlignment="1">
      <alignment horizontal="center" vertical="center"/>
    </xf>
    <xf numFmtId="2" fontId="13" fillId="0" borderId="142" xfId="0" applyNumberFormat="1" applyFont="1" applyBorder="1" applyAlignment="1">
      <alignment horizontal="center" vertical="center"/>
    </xf>
    <xf numFmtId="2" fontId="13" fillId="0" borderId="144" xfId="0" applyNumberFormat="1" applyFont="1" applyBorder="1" applyAlignment="1">
      <alignment horizontal="center" vertical="center"/>
    </xf>
    <xf numFmtId="2" fontId="13" fillId="25" borderId="132" xfId="0" applyNumberFormat="1" applyFont="1" applyFill="1" applyBorder="1" applyAlignment="1">
      <alignment horizontal="center" vertical="center"/>
    </xf>
    <xf numFmtId="0" fontId="13" fillId="0" borderId="247" xfId="0" applyFont="1" applyBorder="1" applyAlignment="1">
      <alignment horizontal="center" vertical="center" wrapText="1"/>
    </xf>
    <xf numFmtId="0" fontId="13" fillId="0" borderId="344" xfId="0" applyFont="1" applyBorder="1" applyAlignment="1">
      <alignment horizontal="center" vertical="center" wrapText="1"/>
    </xf>
    <xf numFmtId="0" fontId="13" fillId="0" borderId="252" xfId="0" applyFont="1" applyBorder="1" applyAlignment="1">
      <alignment horizontal="center" vertical="center" wrapText="1"/>
    </xf>
    <xf numFmtId="0" fontId="13" fillId="0" borderId="353" xfId="0" applyFont="1" applyBorder="1" applyAlignment="1">
      <alignment horizontal="center" vertical="center" wrapText="1"/>
    </xf>
    <xf numFmtId="2" fontId="18" fillId="27" borderId="217" xfId="0" applyNumberFormat="1" applyFont="1" applyFill="1" applyBorder="1" applyAlignment="1">
      <alignment horizontal="center" vertical="center"/>
    </xf>
    <xf numFmtId="0" fontId="13" fillId="25" borderId="189" xfId="0" applyFont="1" applyFill="1" applyBorder="1" applyAlignment="1">
      <alignment horizontal="center" vertical="center"/>
    </xf>
    <xf numFmtId="2" fontId="13" fillId="26" borderId="208" xfId="0" applyNumberFormat="1" applyFont="1" applyFill="1" applyBorder="1" applyAlignment="1">
      <alignment horizontal="center" vertical="center"/>
    </xf>
    <xf numFmtId="2" fontId="13" fillId="26" borderId="132" xfId="0" applyNumberFormat="1" applyFont="1" applyFill="1" applyBorder="1" applyAlignment="1">
      <alignment horizontal="center" vertical="center"/>
    </xf>
    <xf numFmtId="0" fontId="13" fillId="0" borderId="129" xfId="0" applyFont="1" applyBorder="1" applyAlignment="1">
      <alignment horizontal="center" vertical="center" wrapText="1"/>
    </xf>
    <xf numFmtId="0" fontId="13" fillId="0" borderId="70" xfId="0" applyFont="1" applyBorder="1" applyAlignment="1">
      <alignment horizontal="left" vertical="center" wrapText="1"/>
    </xf>
    <xf numFmtId="2" fontId="13" fillId="0" borderId="121" xfId="0" applyNumberFormat="1" applyFont="1" applyBorder="1" applyAlignment="1">
      <alignment horizontal="center" vertical="center"/>
    </xf>
    <xf numFmtId="0" fontId="13" fillId="0" borderId="33" xfId="0" applyFont="1" applyBorder="1" applyAlignment="1">
      <alignment horizontal="center" vertical="center" wrapText="1"/>
    </xf>
    <xf numFmtId="0" fontId="18" fillId="28" borderId="137" xfId="0" applyFont="1" applyFill="1" applyBorder="1" applyAlignment="1">
      <alignment horizontal="center" vertical="center"/>
    </xf>
    <xf numFmtId="0" fontId="14" fillId="25" borderId="155" xfId="0" applyFont="1" applyFill="1" applyBorder="1" applyAlignment="1">
      <alignment horizontal="left" vertical="center" wrapText="1"/>
    </xf>
    <xf numFmtId="2" fontId="18" fillId="28" borderId="138" xfId="0" applyNumberFormat="1" applyFont="1" applyFill="1" applyBorder="1" applyAlignment="1">
      <alignment horizontal="center" vertical="center"/>
    </xf>
    <xf numFmtId="2" fontId="18" fillId="28" borderId="178" xfId="0" applyNumberFormat="1" applyFont="1" applyFill="1" applyBorder="1" applyAlignment="1">
      <alignment horizontal="center" vertical="center"/>
    </xf>
    <xf numFmtId="0" fontId="16" fillId="25" borderId="137" xfId="0" applyFont="1" applyFill="1" applyBorder="1" applyAlignment="1">
      <alignment horizontal="center" vertical="center" wrapText="1"/>
    </xf>
    <xf numFmtId="49" fontId="17" fillId="25" borderId="137" xfId="34" quotePrefix="1" applyNumberFormat="1" applyFont="1" applyFill="1" applyBorder="1" applyAlignment="1">
      <alignment horizontal="center" vertical="top"/>
    </xf>
    <xf numFmtId="0" fontId="18" fillId="27" borderId="70" xfId="23" applyFont="1" applyFill="1" applyBorder="1" applyAlignment="1">
      <alignment horizontal="center" vertical="center"/>
    </xf>
    <xf numFmtId="2" fontId="18" fillId="27" borderId="70" xfId="23" applyNumberFormat="1" applyFont="1" applyFill="1" applyBorder="1" applyAlignment="1">
      <alignment horizontal="center" vertical="center"/>
    </xf>
    <xf numFmtId="0" fontId="13" fillId="25" borderId="355" xfId="0" applyFont="1" applyFill="1" applyBorder="1" applyAlignment="1">
      <alignment horizontal="center" vertical="center"/>
    </xf>
    <xf numFmtId="0" fontId="13" fillId="0" borderId="312" xfId="0" applyFont="1" applyBorder="1" applyAlignment="1">
      <alignment horizontal="center" vertical="center"/>
    </xf>
    <xf numFmtId="0" fontId="13" fillId="0" borderId="121" xfId="0" applyFont="1" applyBorder="1" applyAlignment="1">
      <alignment horizontal="center" vertical="center"/>
    </xf>
    <xf numFmtId="0" fontId="18" fillId="27" borderId="121" xfId="0" applyFont="1" applyFill="1" applyBorder="1" applyAlignment="1">
      <alignment horizontal="center" vertical="center"/>
    </xf>
    <xf numFmtId="2" fontId="18" fillId="38" borderId="37" xfId="0" applyNumberFormat="1" applyFont="1" applyFill="1" applyBorder="1" applyAlignment="1">
      <alignment horizontal="center" vertical="center"/>
    </xf>
    <xf numFmtId="2" fontId="13" fillId="25" borderId="141" xfId="0" applyNumberFormat="1" applyFont="1" applyFill="1" applyBorder="1" applyAlignment="1">
      <alignment horizontal="center" vertical="center"/>
    </xf>
    <xf numFmtId="2" fontId="13" fillId="25" borderId="181" xfId="0" applyNumberFormat="1" applyFont="1" applyFill="1" applyBorder="1" applyAlignment="1">
      <alignment horizontal="center" vertical="center"/>
    </xf>
    <xf numFmtId="0" fontId="18" fillId="29" borderId="105" xfId="0" applyFont="1" applyFill="1" applyBorder="1" applyAlignment="1">
      <alignment vertical="top"/>
    </xf>
    <xf numFmtId="2" fontId="13" fillId="25" borderId="121" xfId="0" applyNumberFormat="1" applyFont="1" applyFill="1" applyBorder="1" applyAlignment="1">
      <alignment horizontal="center" vertical="center"/>
    </xf>
    <xf numFmtId="0" fontId="18" fillId="27" borderId="32" xfId="0" applyFont="1" applyFill="1" applyBorder="1" applyAlignment="1">
      <alignment horizontal="center" vertical="center"/>
    </xf>
    <xf numFmtId="2" fontId="18" fillId="27" borderId="354" xfId="0" applyNumberFormat="1" applyFont="1" applyFill="1" applyBorder="1" applyAlignment="1">
      <alignment horizontal="center" vertical="center"/>
    </xf>
    <xf numFmtId="2" fontId="14" fillId="36" borderId="81" xfId="23" applyNumberFormat="1" applyFont="1" applyFill="1" applyBorder="1" applyAlignment="1">
      <alignment horizontal="center" vertical="center"/>
    </xf>
    <xf numFmtId="2" fontId="18" fillId="27" borderId="215" xfId="23" applyNumberFormat="1" applyFont="1" applyFill="1" applyBorder="1" applyAlignment="1">
      <alignment horizontal="center" vertical="center"/>
    </xf>
    <xf numFmtId="2" fontId="18" fillId="27" borderId="163" xfId="23" applyNumberFormat="1" applyFont="1" applyFill="1" applyBorder="1" applyAlignment="1">
      <alignment horizontal="center" vertical="center"/>
    </xf>
    <xf numFmtId="0" fontId="18" fillId="27" borderId="156" xfId="23" applyFont="1" applyFill="1" applyBorder="1" applyAlignment="1">
      <alignment horizontal="center" vertical="center"/>
    </xf>
    <xf numFmtId="2" fontId="13" fillId="36" borderId="140" xfId="23" applyNumberFormat="1" applyFont="1" applyFill="1" applyBorder="1" applyAlignment="1">
      <alignment horizontal="center" vertical="center"/>
    </xf>
    <xf numFmtId="2" fontId="13" fillId="36" borderId="141" xfId="23" applyNumberFormat="1" applyFont="1" applyFill="1" applyBorder="1" applyAlignment="1">
      <alignment horizontal="center" vertical="center"/>
    </xf>
    <xf numFmtId="2" fontId="13" fillId="36" borderId="135" xfId="23" applyNumberFormat="1" applyFont="1" applyFill="1" applyBorder="1" applyAlignment="1">
      <alignment horizontal="center" vertical="center"/>
    </xf>
    <xf numFmtId="0" fontId="13" fillId="25" borderId="142" xfId="23" applyFont="1" applyFill="1" applyBorder="1" applyAlignment="1">
      <alignment horizontal="center" vertical="center" wrapText="1"/>
    </xf>
    <xf numFmtId="0" fontId="13" fillId="25" borderId="143" xfId="23" applyFont="1" applyFill="1" applyBorder="1" applyAlignment="1">
      <alignment horizontal="center" vertical="center" wrapText="1"/>
    </xf>
    <xf numFmtId="0" fontId="13" fillId="25" borderId="144" xfId="23" applyFont="1" applyFill="1" applyBorder="1" applyAlignment="1">
      <alignment horizontal="center" vertical="center" wrapText="1"/>
    </xf>
    <xf numFmtId="2" fontId="13" fillId="36" borderId="142" xfId="23" applyNumberFormat="1" applyFont="1" applyFill="1" applyBorder="1" applyAlignment="1">
      <alignment horizontal="center" vertical="center"/>
    </xf>
    <xf numFmtId="2" fontId="13" fillId="36" borderId="143" xfId="23" applyNumberFormat="1" applyFont="1" applyFill="1" applyBorder="1" applyAlignment="1">
      <alignment horizontal="center" vertical="center"/>
    </xf>
    <xf numFmtId="2" fontId="13" fillId="36" borderId="144" xfId="23" applyNumberFormat="1" applyFont="1" applyFill="1" applyBorder="1" applyAlignment="1">
      <alignment horizontal="center" vertical="center"/>
    </xf>
    <xf numFmtId="0" fontId="13" fillId="25" borderId="0" xfId="23" applyFont="1" applyFill="1" applyAlignment="1">
      <alignment horizontal="center" vertical="center" wrapText="1"/>
    </xf>
    <xf numFmtId="2" fontId="14" fillId="36" borderId="109" xfId="23" applyNumberFormat="1" applyFont="1" applyFill="1" applyBorder="1" applyAlignment="1">
      <alignment horizontal="center" vertical="center"/>
    </xf>
    <xf numFmtId="2" fontId="14" fillId="36" borderId="59" xfId="23" applyNumberFormat="1" applyFont="1" applyFill="1" applyBorder="1" applyAlignment="1">
      <alignment horizontal="center" vertical="center"/>
    </xf>
    <xf numFmtId="2" fontId="14" fillId="26" borderId="132" xfId="0" applyNumberFormat="1" applyFont="1" applyFill="1" applyBorder="1" applyAlignment="1">
      <alignment horizontal="center" vertical="center"/>
    </xf>
    <xf numFmtId="0" fontId="13" fillId="0" borderId="356" xfId="0" applyFont="1" applyBorder="1" applyAlignment="1">
      <alignment horizontal="center" vertical="center" wrapText="1"/>
    </xf>
    <xf numFmtId="2" fontId="14" fillId="0" borderId="178" xfId="0" applyNumberFormat="1" applyFont="1" applyBorder="1" applyAlignment="1">
      <alignment horizontal="center" vertical="center"/>
    </xf>
    <xf numFmtId="0" fontId="13" fillId="0" borderId="231" xfId="0" applyFont="1" applyBorder="1" applyAlignment="1">
      <alignment horizontal="center" vertical="center" wrapText="1"/>
    </xf>
    <xf numFmtId="2" fontId="18" fillId="28" borderId="178" xfId="0" applyNumberFormat="1" applyFont="1" applyFill="1" applyBorder="1" applyAlignment="1">
      <alignment horizontal="center" vertical="center" wrapText="1"/>
    </xf>
    <xf numFmtId="2" fontId="18" fillId="28" borderId="341" xfId="0" applyNumberFormat="1" applyFont="1" applyFill="1" applyBorder="1" applyAlignment="1">
      <alignment horizontal="center" vertical="center" wrapText="1"/>
    </xf>
    <xf numFmtId="0" fontId="13" fillId="25" borderId="232" xfId="0" applyFont="1" applyFill="1" applyBorder="1" applyAlignment="1">
      <alignment horizontal="center" vertical="center" wrapText="1"/>
    </xf>
    <xf numFmtId="2" fontId="14" fillId="26" borderId="279" xfId="0" applyNumberFormat="1" applyFont="1" applyFill="1" applyBorder="1" applyAlignment="1">
      <alignment horizontal="center" vertical="center"/>
    </xf>
    <xf numFmtId="0" fontId="13" fillId="25" borderId="91" xfId="0" applyFont="1" applyFill="1" applyBorder="1" applyAlignment="1">
      <alignment horizontal="center" vertical="center" wrapText="1"/>
    </xf>
    <xf numFmtId="2" fontId="14" fillId="0" borderId="91" xfId="0" applyNumberFormat="1" applyFont="1" applyBorder="1" applyAlignment="1">
      <alignment horizontal="center" vertical="center"/>
    </xf>
    <xf numFmtId="2" fontId="14" fillId="0" borderId="35" xfId="0" applyNumberFormat="1" applyFont="1" applyBorder="1" applyAlignment="1">
      <alignment horizontal="center" vertical="center"/>
    </xf>
    <xf numFmtId="49" fontId="17" fillId="42" borderId="0" xfId="0" applyNumberFormat="1" applyFont="1" applyFill="1" applyAlignment="1">
      <alignment horizontal="center" vertical="top"/>
    </xf>
    <xf numFmtId="0" fontId="18" fillId="28" borderId="70" xfId="0" applyFont="1" applyFill="1" applyBorder="1" applyAlignment="1">
      <alignment horizontal="center" vertical="center"/>
    </xf>
    <xf numFmtId="2" fontId="36" fillId="28" borderId="70" xfId="0" applyNumberFormat="1" applyFont="1" applyFill="1" applyBorder="1" applyAlignment="1">
      <alignment horizontal="center" vertical="center"/>
    </xf>
    <xf numFmtId="0" fontId="14" fillId="0" borderId="139" xfId="0" applyFont="1" applyBorder="1" applyAlignment="1">
      <alignment horizontal="left" vertical="center" wrapText="1"/>
    </xf>
    <xf numFmtId="0" fontId="14" fillId="0" borderId="181" xfId="0" applyFont="1" applyBorder="1" applyAlignment="1">
      <alignment horizontal="left" vertical="center" wrapText="1"/>
    </xf>
    <xf numFmtId="0" fontId="14" fillId="0" borderId="126" xfId="0" applyFont="1" applyBorder="1" applyAlignment="1">
      <alignment horizontal="left" vertical="center" wrapText="1"/>
    </xf>
    <xf numFmtId="0" fontId="16" fillId="0" borderId="139" xfId="0" applyFont="1" applyBorder="1" applyAlignment="1">
      <alignment vertical="center" wrapText="1"/>
    </xf>
    <xf numFmtId="0" fontId="14" fillId="0" borderId="132" xfId="0" applyFont="1" applyBorder="1" applyAlignment="1">
      <alignment horizontal="left" vertical="center" wrapText="1"/>
    </xf>
    <xf numFmtId="49" fontId="17" fillId="41" borderId="132" xfId="0" applyNumberFormat="1" applyFont="1" applyFill="1" applyBorder="1" applyAlignment="1">
      <alignment horizontal="center" vertical="top"/>
    </xf>
    <xf numFmtId="49" fontId="17" fillId="41" borderId="126" xfId="0" applyNumberFormat="1" applyFont="1" applyFill="1" applyBorder="1" applyAlignment="1">
      <alignment horizontal="center" vertical="top"/>
    </xf>
    <xf numFmtId="49" fontId="17" fillId="41" borderId="121" xfId="0" applyNumberFormat="1" applyFont="1" applyFill="1" applyBorder="1" applyAlignment="1">
      <alignment horizontal="center" vertical="top"/>
    </xf>
    <xf numFmtId="0" fontId="16" fillId="25" borderId="136" xfId="0" applyFont="1" applyFill="1" applyBorder="1" applyAlignment="1">
      <alignment horizontal="center" vertical="center" wrapText="1"/>
    </xf>
    <xf numFmtId="0" fontId="13" fillId="25" borderId="32" xfId="0" applyFont="1" applyFill="1" applyBorder="1" applyAlignment="1">
      <alignment horizontal="center" vertical="center"/>
    </xf>
    <xf numFmtId="49" fontId="17" fillId="25" borderId="136" xfId="34" quotePrefix="1" applyNumberFormat="1" applyFont="1" applyFill="1" applyBorder="1" applyAlignment="1">
      <alignment horizontal="center" vertical="top"/>
    </xf>
    <xf numFmtId="2" fontId="13" fillId="25" borderId="33" xfId="0" applyNumberFormat="1" applyFont="1" applyFill="1" applyBorder="1" applyAlignment="1">
      <alignment horizontal="center" vertical="center" wrapText="1"/>
    </xf>
    <xf numFmtId="2" fontId="13" fillId="26" borderId="358" xfId="0" applyNumberFormat="1" applyFont="1" applyFill="1" applyBorder="1" applyAlignment="1">
      <alignment horizontal="center" vertical="center"/>
    </xf>
    <xf numFmtId="2" fontId="13" fillId="26" borderId="359" xfId="0" applyNumberFormat="1" applyFont="1" applyFill="1" applyBorder="1" applyAlignment="1">
      <alignment horizontal="center" vertical="center"/>
    </xf>
    <xf numFmtId="2" fontId="13" fillId="0" borderId="358" xfId="0" applyNumberFormat="1" applyFont="1" applyBorder="1" applyAlignment="1">
      <alignment horizontal="center" vertical="center"/>
    </xf>
    <xf numFmtId="2" fontId="13" fillId="25" borderId="360" xfId="0" applyNumberFormat="1" applyFont="1" applyFill="1" applyBorder="1" applyAlignment="1">
      <alignment horizontal="center" vertical="center" wrapText="1"/>
    </xf>
    <xf numFmtId="2" fontId="14" fillId="26" borderId="360" xfId="0" applyNumberFormat="1" applyFont="1" applyFill="1" applyBorder="1" applyAlignment="1">
      <alignment horizontal="center" vertical="center"/>
    </xf>
    <xf numFmtId="0" fontId="13" fillId="25" borderId="360" xfId="23" applyFont="1" applyFill="1" applyBorder="1" applyAlignment="1">
      <alignment horizontal="center" vertical="center"/>
    </xf>
    <xf numFmtId="2" fontId="14" fillId="26" borderId="357" xfId="23" applyNumberFormat="1" applyFont="1" applyFill="1" applyBorder="1" applyAlignment="1">
      <alignment horizontal="center" vertical="center"/>
    </xf>
    <xf numFmtId="2" fontId="14" fillId="26" borderId="361" xfId="23" applyNumberFormat="1" applyFont="1" applyFill="1" applyBorder="1" applyAlignment="1">
      <alignment horizontal="center" vertical="center"/>
    </xf>
    <xf numFmtId="0" fontId="13" fillId="25" borderId="362" xfId="23" applyFont="1" applyFill="1" applyBorder="1" applyAlignment="1">
      <alignment horizontal="center" vertical="center"/>
    </xf>
    <xf numFmtId="0" fontId="13" fillId="25" borderId="360" xfId="0" applyFont="1" applyFill="1" applyBorder="1" applyAlignment="1">
      <alignment horizontal="center" vertical="center"/>
    </xf>
    <xf numFmtId="165" fontId="13" fillId="25" borderId="360" xfId="23" applyNumberFormat="1" applyFont="1" applyFill="1" applyBorder="1" applyAlignment="1">
      <alignment horizontal="center" vertical="center"/>
    </xf>
    <xf numFmtId="0" fontId="13" fillId="25" borderId="361" xfId="0" applyFont="1" applyFill="1" applyBorder="1" applyAlignment="1">
      <alignment horizontal="center" vertical="center"/>
    </xf>
    <xf numFmtId="2" fontId="13" fillId="26" borderId="360" xfId="23" applyNumberFormat="1" applyFont="1" applyFill="1" applyBorder="1" applyAlignment="1">
      <alignment horizontal="center" vertical="center"/>
    </xf>
    <xf numFmtId="2" fontId="14" fillId="26" borderId="360" xfId="23" applyNumberFormat="1" applyFont="1" applyFill="1" applyBorder="1" applyAlignment="1">
      <alignment horizontal="center" vertical="center"/>
    </xf>
    <xf numFmtId="0" fontId="13" fillId="0" borderId="360" xfId="0" applyFont="1" applyBorder="1" applyAlignment="1">
      <alignment horizontal="center" vertical="center"/>
    </xf>
    <xf numFmtId="2" fontId="13" fillId="0" borderId="360" xfId="0" applyNumberFormat="1" applyFont="1" applyBorder="1" applyAlignment="1">
      <alignment horizontal="center" vertical="center"/>
    </xf>
    <xf numFmtId="0" fontId="21" fillId="43" borderId="363" xfId="0" applyFont="1" applyFill="1" applyBorder="1" applyAlignment="1">
      <alignment wrapText="1"/>
    </xf>
    <xf numFmtId="0" fontId="16" fillId="25" borderId="194" xfId="0" applyFont="1" applyFill="1" applyBorder="1" applyAlignment="1">
      <alignment horizontal="center" vertical="center"/>
    </xf>
    <xf numFmtId="2" fontId="13" fillId="26" borderId="178" xfId="0" applyNumberFormat="1" applyFont="1" applyFill="1" applyBorder="1" applyAlignment="1">
      <alignment horizontal="center" vertical="center"/>
    </xf>
    <xf numFmtId="0" fontId="18" fillId="28" borderId="124" xfId="0" applyFont="1" applyFill="1" applyBorder="1" applyAlignment="1">
      <alignment horizontal="center" vertical="center"/>
    </xf>
    <xf numFmtId="2" fontId="18" fillId="28" borderId="231" xfId="0" applyNumberFormat="1" applyFont="1" applyFill="1" applyBorder="1" applyAlignment="1">
      <alignment horizontal="center" vertical="center"/>
    </xf>
    <xf numFmtId="0" fontId="18" fillId="28" borderId="105" xfId="0" applyFont="1" applyFill="1" applyBorder="1" applyAlignment="1">
      <alignment horizontal="center" vertical="center"/>
    </xf>
    <xf numFmtId="2" fontId="18" fillId="27" borderId="364" xfId="0" applyNumberFormat="1" applyFont="1" applyFill="1" applyBorder="1" applyAlignment="1">
      <alignment horizontal="center" vertical="center"/>
    </xf>
    <xf numFmtId="2" fontId="18" fillId="27" borderId="8" xfId="0" applyNumberFormat="1" applyFont="1" applyFill="1" applyBorder="1" applyAlignment="1">
      <alignment horizontal="center" vertical="center"/>
    </xf>
    <xf numFmtId="2" fontId="18" fillId="27" borderId="220" xfId="0" applyNumberFormat="1" applyFont="1" applyFill="1" applyBorder="1" applyAlignment="1">
      <alignment horizontal="center" vertical="center"/>
    </xf>
    <xf numFmtId="0" fontId="14" fillId="0" borderId="141" xfId="0" applyFont="1" applyBorder="1" applyAlignment="1">
      <alignment horizontal="left" vertical="center" wrapText="1"/>
    </xf>
    <xf numFmtId="0" fontId="16" fillId="0" borderId="141" xfId="0" applyFont="1" applyBorder="1" applyAlignment="1">
      <alignment horizontal="left" vertical="center" wrapText="1"/>
    </xf>
    <xf numFmtId="0" fontId="13" fillId="25" borderId="183" xfId="0" applyFont="1" applyFill="1" applyBorder="1" applyAlignment="1">
      <alignment horizontal="center" vertical="center"/>
    </xf>
    <xf numFmtId="0" fontId="13" fillId="25" borderId="366" xfId="0" applyFont="1" applyFill="1" applyBorder="1" applyAlignment="1">
      <alignment horizontal="center" vertical="center"/>
    </xf>
    <xf numFmtId="2" fontId="18" fillId="28" borderId="132" xfId="0" applyNumberFormat="1" applyFont="1" applyFill="1" applyBorder="1" applyAlignment="1">
      <alignment horizontal="center" vertical="center"/>
    </xf>
    <xf numFmtId="2" fontId="18" fillId="28" borderId="136" xfId="0" applyNumberFormat="1" applyFont="1" applyFill="1" applyBorder="1" applyAlignment="1">
      <alignment horizontal="center" vertical="center"/>
    </xf>
    <xf numFmtId="0" fontId="13" fillId="25" borderId="137" xfId="0" applyFont="1" applyFill="1" applyBorder="1" applyAlignment="1">
      <alignment vertical="top" wrapText="1"/>
    </xf>
    <xf numFmtId="0" fontId="13" fillId="25" borderId="138" xfId="0" applyFont="1" applyFill="1" applyBorder="1" applyAlignment="1">
      <alignment vertical="top" wrapText="1"/>
    </xf>
    <xf numFmtId="0" fontId="16" fillId="25" borderId="143" xfId="0" applyFont="1" applyFill="1" applyBorder="1" applyAlignment="1">
      <alignment horizontal="left" vertical="center" wrapText="1"/>
    </xf>
    <xf numFmtId="2" fontId="16" fillId="25" borderId="139" xfId="0" applyNumberFormat="1" applyFont="1" applyFill="1" applyBorder="1" applyAlignment="1">
      <alignment horizontal="center" vertical="center"/>
    </xf>
    <xf numFmtId="2" fontId="16" fillId="25" borderId="141" xfId="0" applyNumberFormat="1" applyFont="1" applyFill="1" applyBorder="1" applyAlignment="1">
      <alignment horizontal="center" vertical="center"/>
    </xf>
    <xf numFmtId="2" fontId="16" fillId="25" borderId="135" xfId="0" applyNumberFormat="1" applyFont="1" applyFill="1" applyBorder="1" applyAlignment="1">
      <alignment horizontal="center" vertical="center"/>
    </xf>
    <xf numFmtId="0" fontId="16" fillId="25" borderId="237" xfId="0" applyFont="1" applyFill="1" applyBorder="1" applyAlignment="1">
      <alignment horizontal="center" vertical="center"/>
    </xf>
    <xf numFmtId="2" fontId="13" fillId="26" borderId="339" xfId="0" applyNumberFormat="1" applyFont="1" applyFill="1" applyBorder="1" applyAlignment="1">
      <alignment horizontal="center" vertical="center"/>
    </xf>
    <xf numFmtId="165" fontId="13" fillId="0" borderId="313" xfId="35" applyNumberFormat="1" applyFont="1" applyBorder="1" applyAlignment="1">
      <alignment horizontal="left" vertical="center" wrapText="1"/>
    </xf>
    <xf numFmtId="49" fontId="13" fillId="0" borderId="187" xfId="0" applyNumberFormat="1" applyFont="1" applyBorder="1" applyAlignment="1">
      <alignment vertical="center" wrapText="1"/>
    </xf>
    <xf numFmtId="0" fontId="16" fillId="0" borderId="316" xfId="0" applyFont="1" applyBorder="1" applyAlignment="1">
      <alignment horizontal="center" vertical="center" wrapText="1"/>
    </xf>
    <xf numFmtId="2" fontId="13" fillId="0" borderId="239" xfId="0" applyNumberFormat="1" applyFont="1" applyBorder="1" applyAlignment="1">
      <alignment horizontal="center" vertical="center"/>
    </xf>
    <xf numFmtId="2" fontId="13" fillId="0" borderId="317" xfId="0" applyNumberFormat="1" applyFont="1" applyBorder="1" applyAlignment="1">
      <alignment horizontal="center" vertical="center"/>
    </xf>
    <xf numFmtId="2" fontId="13" fillId="0" borderId="134" xfId="0" applyNumberFormat="1" applyFont="1" applyBorder="1" applyAlignment="1">
      <alignment horizontal="center" vertical="center"/>
    </xf>
    <xf numFmtId="0" fontId="18" fillId="28" borderId="33" xfId="0" applyFont="1" applyFill="1" applyBorder="1" applyAlignment="1">
      <alignment horizontal="center" vertical="center"/>
    </xf>
    <xf numFmtId="2" fontId="37" fillId="28" borderId="126" xfId="0" applyNumberFormat="1" applyFont="1" applyFill="1" applyBorder="1" applyAlignment="1">
      <alignment horizontal="center" vertical="center"/>
    </xf>
    <xf numFmtId="2" fontId="18" fillId="28" borderId="0" xfId="0" applyNumberFormat="1" applyFont="1" applyFill="1" applyAlignment="1">
      <alignment horizontal="center" vertical="center"/>
    </xf>
    <xf numFmtId="2" fontId="18" fillId="28" borderId="127" xfId="0" applyNumberFormat="1" applyFont="1" applyFill="1" applyBorder="1" applyAlignment="1">
      <alignment horizontal="center" vertical="center"/>
    </xf>
    <xf numFmtId="2" fontId="13" fillId="26" borderId="139" xfId="0" applyNumberFormat="1" applyFont="1" applyFill="1" applyBorder="1" applyAlignment="1">
      <alignment horizontal="center" vertical="center"/>
    </xf>
    <xf numFmtId="2" fontId="13" fillId="26" borderId="143" xfId="0" applyNumberFormat="1" applyFont="1" applyFill="1" applyBorder="1" applyAlignment="1">
      <alignment horizontal="center" vertical="center"/>
    </xf>
    <xf numFmtId="2" fontId="18" fillId="28" borderId="217" xfId="0" applyNumberFormat="1" applyFont="1" applyFill="1" applyBorder="1" applyAlignment="1">
      <alignment horizontal="center" vertical="center"/>
    </xf>
    <xf numFmtId="2" fontId="18" fillId="28" borderId="163" xfId="0" applyNumberFormat="1" applyFont="1" applyFill="1" applyBorder="1" applyAlignment="1">
      <alignment horizontal="center" vertical="center"/>
    </xf>
    <xf numFmtId="0" fontId="13" fillId="25" borderId="50" xfId="0" applyFont="1" applyFill="1" applyBorder="1" applyAlignment="1">
      <alignment horizontal="center" vertical="center" wrapText="1"/>
    </xf>
    <xf numFmtId="0" fontId="13" fillId="25" borderId="124" xfId="0" applyFont="1" applyFill="1" applyBorder="1" applyAlignment="1">
      <alignment horizontal="center" vertical="center"/>
    </xf>
    <xf numFmtId="2" fontId="13" fillId="25" borderId="124" xfId="0" applyNumberFormat="1" applyFont="1" applyFill="1" applyBorder="1" applyAlignment="1">
      <alignment horizontal="center" vertical="center"/>
    </xf>
    <xf numFmtId="2" fontId="13" fillId="25" borderId="162" xfId="0" applyNumberFormat="1" applyFont="1" applyFill="1" applyBorder="1" applyAlignment="1">
      <alignment horizontal="center" vertical="center"/>
    </xf>
    <xf numFmtId="2" fontId="11" fillId="26" borderId="134" xfId="0" applyNumberFormat="1" applyFont="1" applyFill="1" applyBorder="1" applyAlignment="1">
      <alignment horizontal="center" vertical="center"/>
    </xf>
    <xf numFmtId="2" fontId="18" fillId="40" borderId="59" xfId="0" applyNumberFormat="1" applyFont="1" applyFill="1" applyBorder="1" applyAlignment="1">
      <alignment horizontal="center" vertical="center"/>
    </xf>
    <xf numFmtId="166" fontId="15" fillId="27" borderId="122" xfId="0" applyNumberFormat="1" applyFont="1" applyFill="1" applyBorder="1" applyAlignment="1">
      <alignment horizontal="center" vertical="center"/>
    </xf>
    <xf numFmtId="166" fontId="20" fillId="25" borderId="124" xfId="0" applyNumberFormat="1" applyFont="1" applyFill="1" applyBorder="1" applyAlignment="1">
      <alignment horizontal="center" vertical="center"/>
    </xf>
    <xf numFmtId="2" fontId="18" fillId="40" borderId="245" xfId="0" applyNumberFormat="1" applyFont="1" applyFill="1" applyBorder="1" applyAlignment="1">
      <alignment horizontal="center" vertical="center"/>
    </xf>
    <xf numFmtId="2" fontId="11" fillId="25" borderId="141" xfId="0" applyNumberFormat="1" applyFont="1" applyFill="1" applyBorder="1" applyAlignment="1">
      <alignment horizontal="center" vertical="center"/>
    </xf>
    <xf numFmtId="166" fontId="20" fillId="25" borderId="142" xfId="0" applyNumberFormat="1" applyFont="1" applyFill="1" applyBorder="1" applyAlignment="1">
      <alignment horizontal="center" vertical="center"/>
    </xf>
    <xf numFmtId="166" fontId="20" fillId="25" borderId="143" xfId="0" applyNumberFormat="1" applyFont="1" applyFill="1" applyBorder="1" applyAlignment="1">
      <alignment horizontal="center" vertical="center"/>
    </xf>
    <xf numFmtId="166" fontId="20" fillId="25" borderId="144" xfId="0" applyNumberFormat="1" applyFont="1" applyFill="1" applyBorder="1" applyAlignment="1">
      <alignment horizontal="center" vertical="center"/>
    </xf>
    <xf numFmtId="2" fontId="11" fillId="25" borderId="143" xfId="0" applyNumberFormat="1" applyFont="1" applyFill="1" applyBorder="1" applyAlignment="1">
      <alignment horizontal="center" vertical="center"/>
    </xf>
    <xf numFmtId="2" fontId="36" fillId="27" borderId="169" xfId="0" applyNumberFormat="1" applyFont="1" applyFill="1" applyBorder="1" applyAlignment="1">
      <alignment horizontal="center" vertical="center"/>
    </xf>
    <xf numFmtId="2" fontId="18" fillId="27" borderId="126" xfId="0" applyNumberFormat="1" applyFont="1" applyFill="1" applyBorder="1" applyAlignment="1">
      <alignment horizontal="center" vertical="center"/>
    </xf>
    <xf numFmtId="2" fontId="18" fillId="27" borderId="206" xfId="0" applyNumberFormat="1" applyFont="1" applyFill="1" applyBorder="1" applyAlignment="1">
      <alignment horizontal="center" vertical="center"/>
    </xf>
    <xf numFmtId="166" fontId="20" fillId="25" borderId="137" xfId="0" applyNumberFormat="1" applyFont="1" applyFill="1" applyBorder="1" applyAlignment="1">
      <alignment horizontal="center" vertical="center"/>
    </xf>
    <xf numFmtId="166" fontId="20" fillId="25" borderId="136" xfId="0" applyNumberFormat="1" applyFont="1" applyFill="1" applyBorder="1" applyAlignment="1">
      <alignment horizontal="center" vertical="center"/>
    </xf>
    <xf numFmtId="166" fontId="20" fillId="25" borderId="184" xfId="0" applyNumberFormat="1" applyFont="1" applyFill="1" applyBorder="1" applyAlignment="1">
      <alignment horizontal="center" vertical="center"/>
    </xf>
    <xf numFmtId="166" fontId="20" fillId="25" borderId="138" xfId="0" applyNumberFormat="1" applyFont="1" applyFill="1" applyBorder="1" applyAlignment="1">
      <alignment horizontal="center" vertical="center"/>
    </xf>
    <xf numFmtId="2" fontId="18" fillId="27" borderId="86" xfId="0" applyNumberFormat="1" applyFont="1" applyFill="1" applyBorder="1" applyAlignment="1">
      <alignment horizontal="center" vertical="center"/>
    </xf>
    <xf numFmtId="2" fontId="18" fillId="27" borderId="64" xfId="0" applyNumberFormat="1" applyFont="1" applyFill="1" applyBorder="1" applyAlignment="1">
      <alignment horizontal="center" vertical="center"/>
    </xf>
    <xf numFmtId="2" fontId="14" fillId="26" borderId="140" xfId="0" applyNumberFormat="1" applyFont="1" applyFill="1" applyBorder="1" applyAlignment="1">
      <alignment horizontal="center" vertical="center"/>
    </xf>
    <xf numFmtId="2" fontId="14" fillId="26" borderId="135" xfId="0" applyNumberFormat="1" applyFont="1" applyFill="1" applyBorder="1" applyAlignment="1">
      <alignment horizontal="center" vertical="center"/>
    </xf>
    <xf numFmtId="166" fontId="13" fillId="25" borderId="142" xfId="0" applyNumberFormat="1" applyFont="1" applyFill="1" applyBorder="1" applyAlignment="1">
      <alignment horizontal="center" vertical="center"/>
    </xf>
    <xf numFmtId="166" fontId="13" fillId="25" borderId="144" xfId="0" applyNumberFormat="1" applyFont="1" applyFill="1" applyBorder="1" applyAlignment="1">
      <alignment horizontal="center" vertical="center"/>
    </xf>
    <xf numFmtId="2" fontId="14" fillId="26" borderId="142" xfId="0" applyNumberFormat="1" applyFont="1" applyFill="1" applyBorder="1" applyAlignment="1">
      <alignment horizontal="center" vertical="center"/>
    </xf>
    <xf numFmtId="2" fontId="14" fillId="26" borderId="144" xfId="0" applyNumberFormat="1" applyFont="1" applyFill="1" applyBorder="1" applyAlignment="1">
      <alignment horizontal="center" vertical="center"/>
    </xf>
    <xf numFmtId="2" fontId="14" fillId="26" borderId="187" xfId="0" applyNumberFormat="1" applyFont="1" applyFill="1" applyBorder="1" applyAlignment="1">
      <alignment horizontal="center" vertical="center"/>
    </xf>
    <xf numFmtId="2" fontId="14" fillId="26" borderId="262" xfId="0" applyNumberFormat="1" applyFont="1" applyFill="1" applyBorder="1" applyAlignment="1">
      <alignment horizontal="center" vertical="center"/>
    </xf>
    <xf numFmtId="2" fontId="13" fillId="0" borderId="367" xfId="0" applyNumberFormat="1" applyFont="1" applyBorder="1" applyAlignment="1">
      <alignment horizontal="center" vertical="center"/>
    </xf>
    <xf numFmtId="2" fontId="13" fillId="0" borderId="369" xfId="0" applyNumberFormat="1" applyFont="1" applyBorder="1" applyAlignment="1">
      <alignment horizontal="center" vertical="center"/>
    </xf>
    <xf numFmtId="2" fontId="13" fillId="0" borderId="370" xfId="0" applyNumberFormat="1" applyFont="1" applyBorder="1" applyAlignment="1">
      <alignment horizontal="center" vertical="center"/>
    </xf>
    <xf numFmtId="2" fontId="13" fillId="0" borderId="209" xfId="0" applyNumberFormat="1" applyFont="1" applyBorder="1" applyAlignment="1">
      <alignment horizontal="center" vertical="center"/>
    </xf>
    <xf numFmtId="2" fontId="13" fillId="0" borderId="153" xfId="0" applyNumberFormat="1" applyFont="1" applyBorder="1" applyAlignment="1">
      <alignment horizontal="center" vertical="center"/>
    </xf>
    <xf numFmtId="2" fontId="13" fillId="0" borderId="312" xfId="0" applyNumberFormat="1" applyFont="1" applyBorder="1" applyAlignment="1">
      <alignment horizontal="center" vertical="center"/>
    </xf>
    <xf numFmtId="2" fontId="13" fillId="0" borderId="359" xfId="0" applyNumberFormat="1" applyFont="1" applyBorder="1" applyAlignment="1">
      <alignment horizontal="center" vertical="center"/>
    </xf>
    <xf numFmtId="2" fontId="13" fillId="0" borderId="368" xfId="0" applyNumberFormat="1" applyFont="1" applyBorder="1" applyAlignment="1">
      <alignment horizontal="center" vertical="center"/>
    </xf>
    <xf numFmtId="2" fontId="13" fillId="0" borderId="126" xfId="0" applyNumberFormat="1" applyFont="1" applyBorder="1" applyAlignment="1">
      <alignment horizontal="center" vertical="center"/>
    </xf>
    <xf numFmtId="166" fontId="13" fillId="0" borderId="183" xfId="0" applyNumberFormat="1" applyFont="1" applyBorder="1" applyAlignment="1">
      <alignment horizontal="center" vertical="center"/>
    </xf>
    <xf numFmtId="166" fontId="13" fillId="0" borderId="358" xfId="0" applyNumberFormat="1" applyFont="1" applyBorder="1" applyAlignment="1">
      <alignment horizontal="center" vertical="center"/>
    </xf>
    <xf numFmtId="166" fontId="13" fillId="0" borderId="371" xfId="0" applyNumberFormat="1" applyFont="1" applyBorder="1" applyAlignment="1">
      <alignment horizontal="center" vertical="center"/>
    </xf>
    <xf numFmtId="166" fontId="13" fillId="0" borderId="137" xfId="0" applyNumberFormat="1" applyFont="1" applyBorder="1" applyAlignment="1">
      <alignment horizontal="center" vertical="center"/>
    </xf>
    <xf numFmtId="166" fontId="13" fillId="0" borderId="142" xfId="0" applyNumberFormat="1" applyFont="1" applyBorder="1" applyAlignment="1">
      <alignment horizontal="center" vertical="center"/>
    </xf>
    <xf numFmtId="166" fontId="13" fillId="0" borderId="144" xfId="0" applyNumberFormat="1" applyFont="1" applyBorder="1" applyAlignment="1">
      <alignment horizontal="center" vertical="center"/>
    </xf>
    <xf numFmtId="166" fontId="18" fillId="27" borderId="138" xfId="0" applyNumberFormat="1" applyFont="1" applyFill="1" applyBorder="1" applyAlignment="1">
      <alignment horizontal="center" vertical="center"/>
    </xf>
    <xf numFmtId="2" fontId="13" fillId="0" borderId="183" xfId="0" applyNumberFormat="1" applyFont="1" applyBorder="1" applyAlignment="1">
      <alignment horizontal="center" vertical="center"/>
    </xf>
    <xf numFmtId="2" fontId="13" fillId="0" borderId="371" xfId="0" applyNumberFormat="1" applyFont="1" applyBorder="1" applyAlignment="1">
      <alignment horizontal="center" vertical="center"/>
    </xf>
    <xf numFmtId="2" fontId="13" fillId="0" borderId="350" xfId="0" applyNumberFormat="1" applyFont="1" applyBorder="1" applyAlignment="1">
      <alignment horizontal="center" vertical="center"/>
    </xf>
    <xf numFmtId="0" fontId="13" fillId="0" borderId="80" xfId="0" applyFont="1" applyBorder="1" applyAlignment="1">
      <alignment horizontal="center" vertical="center" wrapText="1"/>
    </xf>
    <xf numFmtId="2" fontId="13" fillId="0" borderId="340" xfId="0" applyNumberFormat="1" applyFont="1" applyBorder="1" applyAlignment="1">
      <alignment horizontal="center" vertical="center"/>
    </xf>
    <xf numFmtId="2" fontId="13" fillId="26" borderId="210" xfId="0" applyNumberFormat="1" applyFont="1" applyFill="1" applyBorder="1" applyAlignment="1">
      <alignment horizontal="center" vertical="center"/>
    </xf>
    <xf numFmtId="2" fontId="13" fillId="26" borderId="151" xfId="0" applyNumberFormat="1" applyFont="1" applyFill="1" applyBorder="1" applyAlignment="1">
      <alignment horizontal="center" vertical="center"/>
    </xf>
    <xf numFmtId="2" fontId="13" fillId="26" borderId="120" xfId="0" applyNumberFormat="1" applyFont="1" applyFill="1" applyBorder="1" applyAlignment="1">
      <alignment horizontal="center" vertical="center"/>
    </xf>
    <xf numFmtId="2" fontId="13" fillId="26" borderId="211" xfId="0" applyNumberFormat="1" applyFont="1" applyFill="1" applyBorder="1" applyAlignment="1">
      <alignment horizontal="center" vertical="center"/>
    </xf>
    <xf numFmtId="2" fontId="13" fillId="26" borderId="126" xfId="0" applyNumberFormat="1" applyFont="1" applyFill="1" applyBorder="1" applyAlignment="1">
      <alignment horizontal="center" vertical="center"/>
    </xf>
    <xf numFmtId="2" fontId="13" fillId="26" borderId="340" xfId="0" applyNumberFormat="1" applyFont="1" applyFill="1" applyBorder="1" applyAlignment="1">
      <alignment horizontal="center" vertical="center"/>
    </xf>
    <xf numFmtId="2" fontId="13" fillId="26" borderId="372" xfId="0" applyNumberFormat="1" applyFont="1" applyFill="1" applyBorder="1" applyAlignment="1">
      <alignment horizontal="center" vertical="center"/>
    </xf>
    <xf numFmtId="2" fontId="13" fillId="26" borderId="373" xfId="0" applyNumberFormat="1" applyFont="1" applyFill="1" applyBorder="1" applyAlignment="1">
      <alignment horizontal="center" vertical="center"/>
    </xf>
    <xf numFmtId="0" fontId="13" fillId="0" borderId="357" xfId="0" applyFont="1" applyBorder="1" applyAlignment="1">
      <alignment horizontal="center" vertical="center" wrapText="1"/>
    </xf>
    <xf numFmtId="2" fontId="13" fillId="26" borderId="374" xfId="0" applyNumberFormat="1" applyFont="1" applyFill="1" applyBorder="1" applyAlignment="1">
      <alignment horizontal="center" vertical="center"/>
    </xf>
    <xf numFmtId="2" fontId="13" fillId="26" borderId="375" xfId="0" applyNumberFormat="1" applyFont="1" applyFill="1" applyBorder="1" applyAlignment="1">
      <alignment horizontal="center" vertical="center"/>
    </xf>
    <xf numFmtId="2" fontId="13" fillId="26" borderId="376" xfId="0" applyNumberFormat="1" applyFont="1" applyFill="1" applyBorder="1" applyAlignment="1">
      <alignment horizontal="center" vertical="center"/>
    </xf>
    <xf numFmtId="2" fontId="11" fillId="26" borderId="40" xfId="0" applyNumberFormat="1" applyFont="1" applyFill="1" applyBorder="1" applyAlignment="1">
      <alignment horizontal="center" vertical="center"/>
    </xf>
    <xf numFmtId="2" fontId="13" fillId="26" borderId="377" xfId="0" applyNumberFormat="1" applyFont="1" applyFill="1" applyBorder="1" applyAlignment="1">
      <alignment horizontal="center" vertical="center"/>
    </xf>
    <xf numFmtId="2" fontId="13" fillId="26" borderId="378" xfId="0" applyNumberFormat="1" applyFont="1" applyFill="1" applyBorder="1" applyAlignment="1">
      <alignment horizontal="center" vertical="center"/>
    </xf>
    <xf numFmtId="2" fontId="18" fillId="27" borderId="131" xfId="0" applyNumberFormat="1" applyFont="1" applyFill="1" applyBorder="1" applyAlignment="1">
      <alignment horizontal="center" vertical="center"/>
    </xf>
    <xf numFmtId="2" fontId="13" fillId="25" borderId="144" xfId="0" applyNumberFormat="1" applyFont="1" applyFill="1" applyBorder="1" applyAlignment="1">
      <alignment horizontal="center" vertical="center" wrapText="1"/>
    </xf>
    <xf numFmtId="2" fontId="14" fillId="26" borderId="139" xfId="0" applyNumberFormat="1" applyFont="1" applyFill="1" applyBorder="1" applyAlignment="1">
      <alignment horizontal="center" vertical="center"/>
    </xf>
    <xf numFmtId="2" fontId="14" fillId="26" borderId="141" xfId="0" applyNumberFormat="1" applyFont="1" applyFill="1" applyBorder="1" applyAlignment="1">
      <alignment horizontal="center" vertical="center"/>
    </xf>
    <xf numFmtId="2" fontId="14" fillId="26" borderId="121" xfId="0" applyNumberFormat="1" applyFont="1" applyFill="1" applyBorder="1" applyAlignment="1">
      <alignment horizontal="center" vertical="center"/>
    </xf>
    <xf numFmtId="2" fontId="13" fillId="25" borderId="32" xfId="0" applyNumberFormat="1" applyFont="1" applyFill="1" applyBorder="1" applyAlignment="1">
      <alignment horizontal="center" vertical="center" wrapText="1"/>
    </xf>
    <xf numFmtId="2" fontId="13" fillId="25" borderId="195" xfId="0" applyNumberFormat="1" applyFont="1" applyFill="1" applyBorder="1" applyAlignment="1">
      <alignment horizontal="center" vertical="center" wrapText="1"/>
    </xf>
    <xf numFmtId="2" fontId="13" fillId="25" borderId="294" xfId="0" applyNumberFormat="1" applyFont="1" applyFill="1" applyBorder="1" applyAlignment="1">
      <alignment horizontal="center" vertical="center" wrapText="1"/>
    </xf>
    <xf numFmtId="2" fontId="18" fillId="27" borderId="379" xfId="0" applyNumberFormat="1" applyFont="1" applyFill="1" applyBorder="1" applyAlignment="1">
      <alignment horizontal="center" vertical="center"/>
    </xf>
    <xf numFmtId="2" fontId="14" fillId="26" borderId="138" xfId="0" applyNumberFormat="1" applyFont="1" applyFill="1" applyBorder="1" applyAlignment="1">
      <alignment horizontal="center" vertical="center"/>
    </xf>
    <xf numFmtId="2" fontId="13" fillId="25" borderId="0" xfId="0" applyNumberFormat="1" applyFont="1" applyFill="1" applyAlignment="1">
      <alignment horizontal="center" vertical="center" wrapText="1"/>
    </xf>
    <xf numFmtId="0" fontId="13" fillId="25" borderId="225" xfId="0" applyFont="1" applyFill="1" applyBorder="1" applyAlignment="1">
      <alignment horizontal="center" vertical="center"/>
    </xf>
    <xf numFmtId="2" fontId="18" fillId="27" borderId="138" xfId="0" applyNumberFormat="1" applyFont="1" applyFill="1" applyBorder="1" applyAlignment="1">
      <alignment horizontal="center" vertical="top"/>
    </xf>
    <xf numFmtId="2" fontId="18" fillId="27" borderId="127" xfId="0" applyNumberFormat="1" applyFont="1" applyFill="1" applyBorder="1" applyAlignment="1">
      <alignment horizontal="center" vertical="top"/>
    </xf>
    <xf numFmtId="2" fontId="13" fillId="26" borderId="134" xfId="0" applyNumberFormat="1" applyFont="1" applyFill="1" applyBorder="1" applyAlignment="1">
      <alignment horizontal="center" vertical="top"/>
    </xf>
    <xf numFmtId="2" fontId="13" fillId="26" borderId="165" xfId="0" applyNumberFormat="1" applyFont="1" applyFill="1" applyBorder="1" applyAlignment="1">
      <alignment horizontal="center" vertical="top"/>
    </xf>
    <xf numFmtId="2" fontId="13" fillId="26" borderId="375" xfId="0" applyNumberFormat="1" applyFont="1" applyFill="1" applyBorder="1" applyAlignment="1">
      <alignment horizontal="center" vertical="top"/>
    </xf>
    <xf numFmtId="2" fontId="13" fillId="26" borderId="376" xfId="0" applyNumberFormat="1" applyFont="1" applyFill="1" applyBorder="1" applyAlignment="1">
      <alignment horizontal="center" vertical="top"/>
    </xf>
    <xf numFmtId="2" fontId="13" fillId="26" borderId="378" xfId="0" applyNumberFormat="1" applyFont="1" applyFill="1" applyBorder="1" applyAlignment="1">
      <alignment horizontal="center" vertical="top"/>
    </xf>
    <xf numFmtId="0" fontId="13" fillId="25" borderId="142" xfId="0" applyFont="1" applyFill="1" applyBorder="1" applyAlignment="1">
      <alignment horizontal="center" vertical="center" wrapText="1"/>
    </xf>
    <xf numFmtId="0" fontId="18" fillId="27" borderId="49" xfId="0" applyFont="1" applyFill="1" applyBorder="1" applyAlignment="1">
      <alignment horizontal="center" vertical="center"/>
    </xf>
    <xf numFmtId="2" fontId="18" fillId="27" borderId="41" xfId="0" applyNumberFormat="1" applyFont="1" applyFill="1" applyBorder="1" applyAlignment="1">
      <alignment horizontal="center" vertical="center"/>
    </xf>
    <xf numFmtId="2" fontId="18" fillId="27" borderId="34" xfId="0" applyNumberFormat="1" applyFont="1" applyFill="1" applyBorder="1" applyAlignment="1">
      <alignment horizontal="center" vertical="center"/>
    </xf>
    <xf numFmtId="2" fontId="18" fillId="27" borderId="177" xfId="0" applyNumberFormat="1" applyFont="1" applyFill="1" applyBorder="1" applyAlignment="1">
      <alignment horizontal="center" vertical="center"/>
    </xf>
    <xf numFmtId="165" fontId="13" fillId="25" borderId="132" xfId="0" applyNumberFormat="1" applyFont="1" applyFill="1" applyBorder="1" applyAlignment="1">
      <alignment horizontal="center" vertical="center"/>
    </xf>
    <xf numFmtId="165" fontId="13" fillId="25" borderId="365" xfId="0" applyNumberFormat="1" applyFont="1" applyFill="1" applyBorder="1" applyAlignment="1">
      <alignment horizontal="center" vertical="center"/>
    </xf>
    <xf numFmtId="165" fontId="13" fillId="25" borderId="192" xfId="0" applyNumberFormat="1" applyFont="1" applyFill="1" applyBorder="1" applyAlignment="1">
      <alignment horizontal="center" vertical="center"/>
    </xf>
    <xf numFmtId="165" fontId="13" fillId="25" borderId="181" xfId="0" applyNumberFormat="1" applyFont="1" applyFill="1" applyBorder="1" applyAlignment="1">
      <alignment horizontal="center" vertical="center"/>
    </xf>
    <xf numFmtId="165" fontId="13" fillId="25" borderId="333" xfId="0" applyNumberFormat="1" applyFont="1" applyFill="1" applyBorder="1" applyAlignment="1">
      <alignment horizontal="center" vertical="center"/>
    </xf>
    <xf numFmtId="165" fontId="13" fillId="25" borderId="368" xfId="0" applyNumberFormat="1" applyFont="1" applyFill="1" applyBorder="1" applyAlignment="1">
      <alignment horizontal="center" vertical="center"/>
    </xf>
    <xf numFmtId="0" fontId="13" fillId="25" borderId="34" xfId="0" applyFont="1" applyFill="1" applyBorder="1" applyAlignment="1">
      <alignment horizontal="center" vertical="center"/>
    </xf>
    <xf numFmtId="0" fontId="13" fillId="25" borderId="195" xfId="0" applyFont="1" applyFill="1" applyBorder="1" applyAlignment="1">
      <alignment horizontal="center" vertical="center"/>
    </xf>
    <xf numFmtId="0" fontId="13" fillId="25" borderId="292" xfId="0" applyFont="1" applyFill="1" applyBorder="1" applyAlignment="1">
      <alignment horizontal="center" vertical="center"/>
    </xf>
    <xf numFmtId="0" fontId="18" fillId="27" borderId="33" xfId="0" applyFont="1" applyFill="1" applyBorder="1" applyAlignment="1">
      <alignment horizontal="center" vertical="center"/>
    </xf>
    <xf numFmtId="165" fontId="13" fillId="25" borderId="136" xfId="0" applyNumberFormat="1" applyFont="1" applyFill="1" applyBorder="1" applyAlignment="1">
      <alignment horizontal="center" vertical="center"/>
    </xf>
    <xf numFmtId="165" fontId="13" fillId="25" borderId="366" xfId="0" applyNumberFormat="1" applyFont="1" applyFill="1" applyBorder="1" applyAlignment="1">
      <alignment horizontal="center" vertical="center"/>
    </xf>
    <xf numFmtId="165" fontId="13" fillId="25" borderId="380" xfId="0" applyNumberFormat="1" applyFont="1" applyFill="1" applyBorder="1" applyAlignment="1">
      <alignment horizontal="center" vertical="center"/>
    </xf>
    <xf numFmtId="165" fontId="13" fillId="25" borderId="371" xfId="0" applyNumberFormat="1" applyFont="1" applyFill="1" applyBorder="1" applyAlignment="1">
      <alignment horizontal="center" vertical="center"/>
    </xf>
    <xf numFmtId="0" fontId="13" fillId="25" borderId="178" xfId="0" applyFont="1" applyFill="1" applyBorder="1" applyAlignment="1">
      <alignment horizontal="center" vertical="center" wrapText="1"/>
    </xf>
    <xf numFmtId="2" fontId="14" fillId="0" borderId="312" xfId="0" applyNumberFormat="1" applyFont="1" applyBorder="1" applyAlignment="1">
      <alignment horizontal="center"/>
    </xf>
    <xf numFmtId="2" fontId="14" fillId="36" borderId="365" xfId="23" applyNumberFormat="1" applyFont="1" applyFill="1" applyBorder="1" applyAlignment="1">
      <alignment horizontal="center" vertical="center"/>
    </xf>
    <xf numFmtId="2" fontId="18" fillId="27" borderId="206" xfId="23" applyNumberFormat="1" applyFont="1" applyFill="1" applyBorder="1" applyAlignment="1">
      <alignment horizontal="center" vertical="center"/>
    </xf>
    <xf numFmtId="2" fontId="14" fillId="0" borderId="50" xfId="0" applyNumberFormat="1" applyFont="1" applyBorder="1" applyAlignment="1">
      <alignment horizontal="center"/>
    </xf>
    <xf numFmtId="2" fontId="14" fillId="36" borderId="325" xfId="23" applyNumberFormat="1" applyFont="1" applyFill="1" applyBorder="1" applyAlignment="1">
      <alignment horizontal="center" vertical="center"/>
    </xf>
    <xf numFmtId="2" fontId="14" fillId="36" borderId="91" xfId="23" applyNumberFormat="1" applyFont="1" applyFill="1" applyBorder="1" applyAlignment="1">
      <alignment horizontal="center" vertical="center"/>
    </xf>
    <xf numFmtId="2" fontId="18" fillId="27" borderId="76" xfId="23" applyNumberFormat="1" applyFont="1" applyFill="1" applyBorder="1" applyAlignment="1">
      <alignment horizontal="center" vertical="center"/>
    </xf>
    <xf numFmtId="0" fontId="18" fillId="27" borderId="121" xfId="23" applyFont="1" applyFill="1" applyBorder="1" applyAlignment="1">
      <alignment horizontal="center" vertical="center"/>
    </xf>
    <xf numFmtId="2" fontId="14" fillId="26" borderId="140" xfId="23" applyNumberFormat="1" applyFont="1" applyFill="1" applyBorder="1" applyAlignment="1">
      <alignment horizontal="center" vertical="center"/>
    </xf>
    <xf numFmtId="2" fontId="14" fillId="26" borderId="141" xfId="23" applyNumberFormat="1" applyFont="1" applyFill="1" applyBorder="1" applyAlignment="1">
      <alignment horizontal="center" vertical="center"/>
    </xf>
    <xf numFmtId="2" fontId="14" fillId="26" borderId="135" xfId="23" applyNumberFormat="1" applyFont="1" applyFill="1" applyBorder="1" applyAlignment="1">
      <alignment horizontal="center" vertical="center"/>
    </xf>
    <xf numFmtId="0" fontId="13" fillId="25" borderId="142" xfId="23" applyFont="1" applyFill="1" applyBorder="1" applyAlignment="1">
      <alignment horizontal="center" vertical="center"/>
    </xf>
    <xf numFmtId="0" fontId="13" fillId="25" borderId="143" xfId="23" applyFont="1" applyFill="1" applyBorder="1" applyAlignment="1">
      <alignment horizontal="center" vertical="center"/>
    </xf>
    <xf numFmtId="2" fontId="18" fillId="27" borderId="121" xfId="23" applyNumberFormat="1" applyFont="1" applyFill="1" applyBorder="1" applyAlignment="1">
      <alignment horizontal="center" vertical="center"/>
    </xf>
    <xf numFmtId="2" fontId="14" fillId="26" borderId="142" xfId="23" applyNumberFormat="1" applyFont="1" applyFill="1" applyBorder="1" applyAlignment="1">
      <alignment horizontal="center" vertical="center"/>
    </xf>
    <xf numFmtId="2" fontId="14" fillId="26" borderId="143" xfId="23" applyNumberFormat="1" applyFont="1" applyFill="1" applyBorder="1" applyAlignment="1">
      <alignment horizontal="center" vertical="center"/>
    </xf>
    <xf numFmtId="2" fontId="14" fillId="26" borderId="144" xfId="23" applyNumberFormat="1" applyFont="1" applyFill="1" applyBorder="1" applyAlignment="1">
      <alignment horizontal="center" vertical="center"/>
    </xf>
    <xf numFmtId="2" fontId="18" fillId="27" borderId="0" xfId="23" applyNumberFormat="1" applyFont="1" applyFill="1" applyAlignment="1">
      <alignment horizontal="center" vertical="center"/>
    </xf>
    <xf numFmtId="2" fontId="18" fillId="27" borderId="54" xfId="23" applyNumberFormat="1" applyFont="1" applyFill="1" applyBorder="1" applyAlignment="1">
      <alignment horizontal="center" vertical="center"/>
    </xf>
    <xf numFmtId="2" fontId="18" fillId="27" borderId="186" xfId="23" applyNumberFormat="1" applyFont="1" applyFill="1" applyBorder="1" applyAlignment="1">
      <alignment horizontal="center" vertical="center"/>
    </xf>
    <xf numFmtId="166" fontId="18" fillId="27" borderId="178" xfId="23" applyNumberFormat="1" applyFont="1" applyFill="1" applyBorder="1" applyAlignment="1">
      <alignment horizontal="center" vertical="center"/>
    </xf>
    <xf numFmtId="166" fontId="18" fillId="27" borderId="129" xfId="23" applyNumberFormat="1" applyFont="1" applyFill="1" applyBorder="1" applyAlignment="1">
      <alignment horizontal="center" vertical="center"/>
    </xf>
    <xf numFmtId="2" fontId="13" fillId="26" borderId="387" xfId="0" applyNumberFormat="1" applyFont="1" applyFill="1" applyBorder="1" applyAlignment="1">
      <alignment horizontal="center" vertical="center"/>
    </xf>
    <xf numFmtId="2" fontId="13" fillId="26" borderId="388" xfId="0" applyNumberFormat="1" applyFont="1" applyFill="1" applyBorder="1" applyAlignment="1">
      <alignment horizontal="center" vertical="center"/>
    </xf>
    <xf numFmtId="0" fontId="16" fillId="0" borderId="389" xfId="0" applyFont="1" applyBorder="1" applyAlignment="1">
      <alignment horizontal="center" vertical="center" wrapText="1"/>
    </xf>
    <xf numFmtId="2" fontId="13" fillId="26" borderId="390" xfId="0" applyNumberFormat="1" applyFont="1" applyFill="1" applyBorder="1" applyAlignment="1">
      <alignment horizontal="center" vertical="center"/>
    </xf>
    <xf numFmtId="0" fontId="14" fillId="0" borderId="391" xfId="0" applyFont="1" applyBorder="1" applyAlignment="1">
      <alignment vertical="top" wrapText="1"/>
    </xf>
    <xf numFmtId="0" fontId="14" fillId="0" borderId="391" xfId="0" applyFont="1" applyBorder="1" applyAlignment="1">
      <alignment horizontal="left" vertical="center" wrapText="1"/>
    </xf>
    <xf numFmtId="0" fontId="13" fillId="25" borderId="393" xfId="0" applyFont="1" applyFill="1" applyBorder="1" applyAlignment="1">
      <alignment horizontal="center" vertical="center" wrapText="1"/>
    </xf>
    <xf numFmtId="2" fontId="13" fillId="26" borderId="392" xfId="0" applyNumberFormat="1" applyFont="1" applyFill="1" applyBorder="1" applyAlignment="1">
      <alignment horizontal="center" vertical="center"/>
    </xf>
    <xf numFmtId="0" fontId="16" fillId="0" borderId="386" xfId="0" applyFont="1" applyBorder="1" applyAlignment="1">
      <alignment horizontal="center" vertical="center" wrapText="1"/>
    </xf>
    <xf numFmtId="2" fontId="13" fillId="0" borderId="394" xfId="0" applyNumberFormat="1" applyFont="1" applyBorder="1" applyAlignment="1">
      <alignment horizontal="center" vertical="center"/>
    </xf>
    <xf numFmtId="2" fontId="13" fillId="0" borderId="377" xfId="0" applyNumberFormat="1" applyFont="1" applyBorder="1" applyAlignment="1">
      <alignment horizontal="center" vertical="center"/>
    </xf>
    <xf numFmtId="2" fontId="13" fillId="0" borderId="374" xfId="0" applyNumberFormat="1" applyFont="1" applyBorder="1" applyAlignment="1">
      <alignment horizontal="center" vertical="center"/>
    </xf>
    <xf numFmtId="2" fontId="13" fillId="0" borderId="390" xfId="0" applyNumberFormat="1" applyFont="1" applyBorder="1" applyAlignment="1">
      <alignment horizontal="center" vertical="center"/>
    </xf>
    <xf numFmtId="2" fontId="13" fillId="0" borderId="378" xfId="0" applyNumberFormat="1" applyFont="1" applyBorder="1" applyAlignment="1">
      <alignment horizontal="center" vertical="center"/>
    </xf>
    <xf numFmtId="2" fontId="13" fillId="0" borderId="375" xfId="0" applyNumberFormat="1" applyFont="1" applyBorder="1" applyAlignment="1">
      <alignment horizontal="center" vertical="center"/>
    </xf>
    <xf numFmtId="0" fontId="16" fillId="25" borderId="392" xfId="0" applyFont="1" applyFill="1" applyBorder="1" applyAlignment="1">
      <alignment horizontal="center" vertical="center" wrapText="1"/>
    </xf>
    <xf numFmtId="2" fontId="13" fillId="26" borderId="395" xfId="0" applyNumberFormat="1" applyFont="1" applyFill="1" applyBorder="1" applyAlignment="1">
      <alignment horizontal="center" vertical="center"/>
    </xf>
    <xf numFmtId="2" fontId="13" fillId="26" borderId="381" xfId="0" applyNumberFormat="1" applyFont="1" applyFill="1" applyBorder="1" applyAlignment="1">
      <alignment horizontal="center" vertical="center"/>
    </xf>
    <xf numFmtId="0" fontId="13" fillId="0" borderId="392" xfId="0" applyFont="1" applyBorder="1" applyAlignment="1">
      <alignment horizontal="center" vertical="center"/>
    </xf>
    <xf numFmtId="2" fontId="13" fillId="0" borderId="392" xfId="0" applyNumberFormat="1" applyFont="1" applyBorder="1" applyAlignment="1">
      <alignment horizontal="center" vertical="center"/>
    </xf>
    <xf numFmtId="0" fontId="13" fillId="0" borderId="387" xfId="0" applyFont="1" applyBorder="1" applyAlignment="1">
      <alignment horizontal="center" vertical="center" wrapText="1"/>
    </xf>
    <xf numFmtId="2" fontId="14" fillId="0" borderId="394" xfId="0" applyNumberFormat="1" applyFont="1" applyBorder="1" applyAlignment="1">
      <alignment horizontal="center" vertical="center"/>
    </xf>
    <xf numFmtId="0" fontId="13" fillId="0" borderId="388" xfId="0" applyFont="1" applyBorder="1" applyAlignment="1">
      <alignment horizontal="center" vertical="center" wrapText="1"/>
    </xf>
    <xf numFmtId="2" fontId="14" fillId="0" borderId="390" xfId="0" applyNumberFormat="1" applyFont="1" applyBorder="1" applyAlignment="1">
      <alignment horizontal="center" vertical="center"/>
    </xf>
    <xf numFmtId="0" fontId="13" fillId="25" borderId="392" xfId="0" applyFont="1" applyFill="1" applyBorder="1" applyAlignment="1">
      <alignment horizontal="center" vertical="center"/>
    </xf>
    <xf numFmtId="0" fontId="13" fillId="25" borderId="387" xfId="0" applyFont="1" applyFill="1" applyBorder="1" applyAlignment="1">
      <alignment horizontal="center" vertical="center" wrapText="1"/>
    </xf>
    <xf numFmtId="2" fontId="13" fillId="26" borderId="394" xfId="0" applyNumberFormat="1" applyFont="1" applyFill="1" applyBorder="1" applyAlignment="1">
      <alignment horizontal="center" vertical="center"/>
    </xf>
    <xf numFmtId="0" fontId="13" fillId="25" borderId="388" xfId="0" applyFont="1" applyFill="1" applyBorder="1" applyAlignment="1">
      <alignment horizontal="center" vertical="center" wrapText="1"/>
    </xf>
    <xf numFmtId="2" fontId="13" fillId="26" borderId="396" xfId="0" applyNumberFormat="1" applyFont="1" applyFill="1" applyBorder="1" applyAlignment="1">
      <alignment horizontal="center" vertical="center"/>
    </xf>
    <xf numFmtId="2" fontId="13" fillId="26" borderId="397" xfId="0" applyNumberFormat="1" applyFont="1" applyFill="1" applyBorder="1" applyAlignment="1">
      <alignment horizontal="center" vertical="center"/>
    </xf>
    <xf numFmtId="2" fontId="13" fillId="26" borderId="398" xfId="0" applyNumberFormat="1" applyFont="1" applyFill="1" applyBorder="1" applyAlignment="1">
      <alignment horizontal="center" vertical="center"/>
    </xf>
    <xf numFmtId="2" fontId="13" fillId="26" borderId="390" xfId="0" applyNumberFormat="1" applyFont="1" applyFill="1" applyBorder="1" applyAlignment="1">
      <alignment horizontal="center" vertical="top"/>
    </xf>
    <xf numFmtId="2" fontId="14" fillId="26" borderId="399" xfId="23" applyNumberFormat="1" applyFont="1" applyFill="1" applyBorder="1" applyAlignment="1">
      <alignment horizontal="center" vertical="center"/>
    </xf>
    <xf numFmtId="0" fontId="13" fillId="25" borderId="400" xfId="23" applyFont="1" applyFill="1" applyBorder="1" applyAlignment="1">
      <alignment horizontal="center" vertical="center" wrapText="1"/>
    </xf>
    <xf numFmtId="2" fontId="13" fillId="26" borderId="399" xfId="23" applyNumberFormat="1" applyFont="1" applyFill="1" applyBorder="1" applyAlignment="1">
      <alignment horizontal="center" vertical="center"/>
    </xf>
    <xf numFmtId="0" fontId="13" fillId="0" borderId="401" xfId="0" applyFont="1" applyBorder="1" applyAlignment="1">
      <alignment horizontal="center" vertical="center"/>
    </xf>
    <xf numFmtId="2" fontId="13" fillId="0" borderId="401" xfId="0" applyNumberFormat="1" applyFont="1" applyBorder="1" applyAlignment="1">
      <alignment horizontal="center" vertical="center"/>
    </xf>
    <xf numFmtId="0" fontId="13" fillId="25" borderId="402" xfId="0" applyFont="1" applyFill="1" applyBorder="1" applyAlignment="1">
      <alignment horizontal="center" vertical="center"/>
    </xf>
    <xf numFmtId="0" fontId="13" fillId="25" borderId="388" xfId="0" applyFont="1" applyFill="1" applyBorder="1" applyAlignment="1">
      <alignment horizontal="center" vertical="center"/>
    </xf>
    <xf numFmtId="49" fontId="13" fillId="25" borderId="388" xfId="0" applyNumberFormat="1" applyFont="1" applyFill="1" applyBorder="1" applyAlignment="1">
      <alignment horizontal="center" vertical="center"/>
    </xf>
    <xf numFmtId="0" fontId="21" fillId="43" borderId="403" xfId="0" applyFont="1" applyFill="1" applyBorder="1" applyAlignment="1">
      <alignment wrapText="1"/>
    </xf>
    <xf numFmtId="0" fontId="21" fillId="43" borderId="383" xfId="0" applyFont="1" applyFill="1" applyBorder="1" applyAlignment="1">
      <alignment wrapText="1"/>
    </xf>
    <xf numFmtId="0" fontId="21" fillId="43" borderId="404" xfId="0" applyFont="1" applyFill="1" applyBorder="1" applyAlignment="1">
      <alignment wrapText="1"/>
    </xf>
    <xf numFmtId="0" fontId="22" fillId="0" borderId="403" xfId="0" applyFont="1" applyBorder="1" applyAlignment="1">
      <alignment wrapText="1"/>
    </xf>
    <xf numFmtId="0" fontId="22" fillId="0" borderId="405" xfId="0" applyFont="1" applyBorder="1" applyAlignment="1">
      <alignment wrapText="1"/>
    </xf>
    <xf numFmtId="2" fontId="11" fillId="25" borderId="137" xfId="0" applyNumberFormat="1" applyFont="1" applyFill="1" applyBorder="1" applyAlignment="1">
      <alignment horizontal="center" vertical="center"/>
    </xf>
    <xf numFmtId="0" fontId="18" fillId="27" borderId="132" xfId="0" applyFont="1" applyFill="1" applyBorder="1" applyAlignment="1">
      <alignment horizontal="center" vertical="top"/>
    </xf>
    <xf numFmtId="0" fontId="18" fillId="27" borderId="49" xfId="0" applyFont="1" applyFill="1" applyBorder="1" applyAlignment="1">
      <alignment horizontal="center" vertical="top"/>
    </xf>
    <xf numFmtId="0" fontId="18" fillId="29" borderId="65" xfId="0" applyFont="1" applyFill="1" applyBorder="1" applyAlignment="1">
      <alignment vertical="top" wrapText="1"/>
    </xf>
    <xf numFmtId="2" fontId="13" fillId="26" borderId="0" xfId="0" applyNumberFormat="1" applyFont="1" applyFill="1" applyAlignment="1">
      <alignment horizontal="center" vertical="center"/>
    </xf>
    <xf numFmtId="2" fontId="13" fillId="26" borderId="58" xfId="0" applyNumberFormat="1" applyFont="1" applyFill="1" applyBorder="1" applyAlignment="1">
      <alignment horizontal="center" vertical="center"/>
    </xf>
    <xf numFmtId="2" fontId="13" fillId="26" borderId="128" xfId="0" applyNumberFormat="1" applyFont="1" applyFill="1" applyBorder="1" applyAlignment="1">
      <alignment horizontal="center" vertical="center"/>
    </xf>
    <xf numFmtId="0" fontId="24" fillId="25" borderId="273" xfId="0" applyFont="1" applyFill="1" applyBorder="1" applyAlignment="1">
      <alignment horizontal="center" vertical="center"/>
    </xf>
    <xf numFmtId="2" fontId="24" fillId="25" borderId="180" xfId="0" applyNumberFormat="1" applyFont="1" applyFill="1" applyBorder="1" applyAlignment="1">
      <alignment horizontal="center" vertical="center"/>
    </xf>
    <xf numFmtId="2" fontId="24" fillId="25" borderId="184" xfId="0" applyNumberFormat="1" applyFont="1" applyFill="1" applyBorder="1" applyAlignment="1">
      <alignment horizontal="center" vertical="center"/>
    </xf>
    <xf numFmtId="2" fontId="24" fillId="25" borderId="300" xfId="0" applyNumberFormat="1" applyFont="1" applyFill="1" applyBorder="1" applyAlignment="1">
      <alignment horizontal="center" vertical="center"/>
    </xf>
    <xf numFmtId="0" fontId="13" fillId="25" borderId="76" xfId="0" applyFont="1" applyFill="1" applyBorder="1" applyAlignment="1">
      <alignment horizontal="center" vertical="center"/>
    </xf>
    <xf numFmtId="0" fontId="13" fillId="0" borderId="33" xfId="0" applyFont="1" applyBorder="1" applyAlignment="1">
      <alignment horizontal="center" vertical="center"/>
    </xf>
    <xf numFmtId="2" fontId="13" fillId="26" borderId="87" xfId="0" applyNumberFormat="1" applyFont="1" applyFill="1" applyBorder="1" applyAlignment="1">
      <alignment horizontal="center" vertical="center"/>
    </xf>
    <xf numFmtId="2" fontId="13" fillId="26" borderId="122" xfId="0" applyNumberFormat="1" applyFont="1" applyFill="1" applyBorder="1" applyAlignment="1">
      <alignment horizontal="center" vertical="center"/>
    </xf>
    <xf numFmtId="2" fontId="13" fillId="25" borderId="184" xfId="0" applyNumberFormat="1" applyFont="1" applyFill="1" applyBorder="1" applyAlignment="1">
      <alignment horizontal="center" vertical="center" wrapText="1"/>
    </xf>
    <xf numFmtId="2" fontId="14" fillId="26" borderId="184" xfId="0" applyNumberFormat="1" applyFont="1" applyFill="1" applyBorder="1" applyAlignment="1">
      <alignment horizontal="center" vertical="center"/>
    </xf>
    <xf numFmtId="2" fontId="14" fillId="26" borderId="181" xfId="0" applyNumberFormat="1" applyFont="1" applyFill="1" applyBorder="1" applyAlignment="1">
      <alignment horizontal="center" vertical="center"/>
    </xf>
    <xf numFmtId="0" fontId="18" fillId="27" borderId="76" xfId="0" applyFont="1" applyFill="1" applyBorder="1" applyAlignment="1">
      <alignment horizontal="center" vertical="center"/>
    </xf>
    <xf numFmtId="2" fontId="18" fillId="27" borderId="409" xfId="0" applyNumberFormat="1" applyFont="1" applyFill="1" applyBorder="1" applyAlignment="1">
      <alignment horizontal="center" vertical="center"/>
    </xf>
    <xf numFmtId="0" fontId="13" fillId="25" borderId="410" xfId="0" applyFont="1" applyFill="1" applyBorder="1" applyAlignment="1">
      <alignment horizontal="center" vertical="center"/>
    </xf>
    <xf numFmtId="2" fontId="13" fillId="26" borderId="411" xfId="0" applyNumberFormat="1" applyFont="1" applyFill="1" applyBorder="1" applyAlignment="1">
      <alignment horizontal="center" vertical="center"/>
    </xf>
    <xf numFmtId="2" fontId="13" fillId="26" borderId="412" xfId="0" applyNumberFormat="1" applyFont="1" applyFill="1" applyBorder="1" applyAlignment="1">
      <alignment horizontal="center" vertical="center"/>
    </xf>
    <xf numFmtId="2" fontId="13" fillId="26" borderId="413" xfId="0" applyNumberFormat="1" applyFont="1" applyFill="1" applyBorder="1" applyAlignment="1">
      <alignment horizontal="center" vertical="center"/>
    </xf>
    <xf numFmtId="0" fontId="18" fillId="27" borderId="414" xfId="0" applyFont="1" applyFill="1" applyBorder="1" applyAlignment="1">
      <alignment horizontal="center" vertical="center"/>
    </xf>
    <xf numFmtId="2" fontId="18" fillId="27" borderId="415" xfId="0" applyNumberFormat="1" applyFont="1" applyFill="1" applyBorder="1" applyAlignment="1">
      <alignment horizontal="center" vertical="center"/>
    </xf>
    <xf numFmtId="2" fontId="18" fillId="27" borderId="416" xfId="0" applyNumberFormat="1" applyFont="1" applyFill="1" applyBorder="1" applyAlignment="1">
      <alignment horizontal="center" vertical="center"/>
    </xf>
    <xf numFmtId="0" fontId="11" fillId="25" borderId="58" xfId="0" applyFont="1" applyFill="1" applyBorder="1" applyAlignment="1">
      <alignment horizontal="center" vertical="center"/>
    </xf>
    <xf numFmtId="2" fontId="11" fillId="26" borderId="42" xfId="0" applyNumberFormat="1" applyFont="1" applyFill="1" applyBorder="1" applyAlignment="1">
      <alignment horizontal="center" vertical="center"/>
    </xf>
    <xf numFmtId="2" fontId="11" fillId="26" borderId="76" xfId="0" applyNumberFormat="1" applyFont="1" applyFill="1" applyBorder="1" applyAlignment="1">
      <alignment horizontal="center" vertical="center"/>
    </xf>
    <xf numFmtId="2" fontId="11" fillId="26" borderId="284" xfId="0" applyNumberFormat="1" applyFont="1" applyFill="1" applyBorder="1" applyAlignment="1">
      <alignment horizontal="center" vertical="center"/>
    </xf>
    <xf numFmtId="0" fontId="36" fillId="27" borderId="128" xfId="0" applyFont="1" applyFill="1" applyBorder="1" applyAlignment="1">
      <alignment horizontal="center" vertical="center"/>
    </xf>
    <xf numFmtId="2" fontId="36" fillId="27" borderId="235" xfId="0" applyNumberFormat="1" applyFont="1" applyFill="1" applyBorder="1" applyAlignment="1">
      <alignment horizontal="center" vertical="center"/>
    </xf>
    <xf numFmtId="2" fontId="36" fillId="27" borderId="129" xfId="0" applyNumberFormat="1" applyFont="1" applyFill="1" applyBorder="1" applyAlignment="1">
      <alignment horizontal="center" vertical="center"/>
    </xf>
    <xf numFmtId="2" fontId="36" fillId="27" borderId="121" xfId="0" applyNumberFormat="1" applyFont="1" applyFill="1" applyBorder="1" applyAlignment="1">
      <alignment horizontal="center" vertical="center"/>
    </xf>
    <xf numFmtId="0" fontId="14" fillId="0" borderId="138" xfId="0" applyFont="1" applyBorder="1" applyAlignment="1">
      <alignment horizontal="center" vertical="center"/>
    </xf>
    <xf numFmtId="2" fontId="14" fillId="0" borderId="138" xfId="0" applyNumberFormat="1" applyFont="1" applyBorder="1" applyAlignment="1">
      <alignment horizontal="center" vertical="center"/>
    </xf>
    <xf numFmtId="2" fontId="14" fillId="0" borderId="49" xfId="0" applyNumberFormat="1" applyFont="1" applyBorder="1" applyAlignment="1">
      <alignment horizontal="center" vertical="center"/>
    </xf>
    <xf numFmtId="0" fontId="14" fillId="0" borderId="76" xfId="0" applyFont="1" applyBorder="1" applyAlignment="1">
      <alignment horizontal="center" vertical="center"/>
    </xf>
    <xf numFmtId="2" fontId="14" fillId="0" borderId="283" xfId="0" applyNumberFormat="1" applyFont="1" applyBorder="1" applyAlignment="1">
      <alignment horizontal="center" vertical="center"/>
    </xf>
    <xf numFmtId="2" fontId="18" fillId="29" borderId="54" xfId="0" applyNumberFormat="1" applyFont="1" applyFill="1" applyBorder="1" applyAlignment="1">
      <alignment vertical="top"/>
    </xf>
    <xf numFmtId="2" fontId="15" fillId="29" borderId="58" xfId="0" applyNumberFormat="1" applyFont="1" applyFill="1" applyBorder="1" applyAlignment="1">
      <alignment horizontal="center" vertical="top"/>
    </xf>
    <xf numFmtId="2" fontId="32" fillId="27" borderId="146" xfId="0" applyNumberFormat="1" applyFont="1" applyFill="1" applyBorder="1" applyAlignment="1">
      <alignment horizontal="center" vertical="center"/>
    </xf>
    <xf numFmtId="2" fontId="18" fillId="27" borderId="132" xfId="0" applyNumberFormat="1" applyFont="1" applyFill="1" applyBorder="1" applyAlignment="1">
      <alignment horizontal="center" vertical="top"/>
    </xf>
    <xf numFmtId="2" fontId="14" fillId="0" borderId="113" xfId="0" applyNumberFormat="1" applyFont="1" applyBorder="1" applyAlignment="1">
      <alignment horizontal="center" vertical="center"/>
    </xf>
    <xf numFmtId="2" fontId="14" fillId="0" borderId="417" xfId="0" applyNumberFormat="1" applyFont="1" applyBorder="1" applyAlignment="1">
      <alignment horizontal="center" vertical="center"/>
    </xf>
    <xf numFmtId="2" fontId="14" fillId="0" borderId="418" xfId="0" applyNumberFormat="1" applyFont="1" applyBorder="1" applyAlignment="1">
      <alignment horizontal="center" vertical="center"/>
    </xf>
    <xf numFmtId="2" fontId="13" fillId="25" borderId="70" xfId="0" applyNumberFormat="1" applyFont="1" applyFill="1" applyBorder="1" applyAlignment="1">
      <alignment horizontal="center" vertical="center"/>
    </xf>
    <xf numFmtId="2" fontId="13" fillId="25" borderId="159" xfId="0" applyNumberFormat="1" applyFont="1" applyFill="1" applyBorder="1" applyAlignment="1">
      <alignment horizontal="center" vertical="center"/>
    </xf>
    <xf numFmtId="2" fontId="13" fillId="25" borderId="280" xfId="0" applyNumberFormat="1" applyFont="1" applyFill="1" applyBorder="1" applyAlignment="1">
      <alignment horizontal="center" vertical="center"/>
    </xf>
    <xf numFmtId="0" fontId="13" fillId="25" borderId="419" xfId="0" applyFont="1" applyFill="1" applyBorder="1" applyAlignment="1">
      <alignment horizontal="center" vertical="center" wrapText="1"/>
    </xf>
    <xf numFmtId="0" fontId="13" fillId="25" borderId="323" xfId="0" applyFont="1" applyFill="1" applyBorder="1" applyAlignment="1">
      <alignment horizontal="center" vertical="center" wrapText="1"/>
    </xf>
    <xf numFmtId="0" fontId="27" fillId="0" borderId="0" xfId="0" applyFont="1" applyAlignment="1">
      <alignment horizontal="right" wrapText="1"/>
    </xf>
    <xf numFmtId="0" fontId="27" fillId="0" borderId="0" xfId="0" applyFont="1" applyAlignment="1">
      <alignment horizontal="left" wrapText="1"/>
    </xf>
    <xf numFmtId="0" fontId="14" fillId="0" borderId="0" xfId="0" applyFont="1" applyAlignment="1">
      <alignment horizontal="left" wrapText="1"/>
    </xf>
    <xf numFmtId="0" fontId="13" fillId="0" borderId="126" xfId="0" applyFont="1" applyBorder="1" applyAlignment="1">
      <alignment horizontal="center" vertical="center"/>
    </xf>
    <xf numFmtId="1" fontId="13" fillId="0" borderId="58" xfId="0" applyNumberFormat="1" applyFont="1" applyBorder="1" applyAlignment="1">
      <alignment vertical="center" wrapText="1"/>
    </xf>
    <xf numFmtId="49" fontId="13" fillId="0" borderId="58" xfId="0" applyNumberFormat="1" applyFont="1" applyBorder="1" applyAlignment="1">
      <alignment vertical="center" wrapText="1"/>
    </xf>
    <xf numFmtId="0" fontId="13" fillId="0" borderId="336" xfId="0" applyFont="1" applyBorder="1" applyAlignment="1">
      <alignment horizontal="center" vertical="center"/>
    </xf>
    <xf numFmtId="0" fontId="18" fillId="27" borderId="59" xfId="0" applyFont="1" applyFill="1" applyBorder="1" applyAlignment="1">
      <alignment horizontal="center" vertical="center"/>
    </xf>
    <xf numFmtId="0" fontId="13" fillId="25" borderId="36" xfId="0" applyFont="1" applyFill="1" applyBorder="1" applyAlignment="1">
      <alignment horizontal="center" vertical="center" wrapText="1"/>
    </xf>
    <xf numFmtId="2" fontId="13" fillId="26" borderId="420" xfId="0" applyNumberFormat="1" applyFont="1" applyFill="1" applyBorder="1" applyAlignment="1">
      <alignment horizontal="center" vertical="center"/>
    </xf>
    <xf numFmtId="2" fontId="13" fillId="26" borderId="421" xfId="0" applyNumberFormat="1" applyFont="1" applyFill="1" applyBorder="1" applyAlignment="1">
      <alignment horizontal="center" vertical="center"/>
    </xf>
    <xf numFmtId="0" fontId="13" fillId="25" borderId="422" xfId="0" applyFont="1" applyFill="1" applyBorder="1" applyAlignment="1">
      <alignment horizontal="center" vertical="center" wrapText="1"/>
    </xf>
    <xf numFmtId="2" fontId="13" fillId="26" borderId="423" xfId="0" applyNumberFormat="1" applyFont="1" applyFill="1" applyBorder="1" applyAlignment="1">
      <alignment horizontal="center" vertical="center"/>
    </xf>
    <xf numFmtId="2" fontId="13" fillId="26" borderId="424" xfId="0" applyNumberFormat="1" applyFont="1" applyFill="1" applyBorder="1" applyAlignment="1">
      <alignment horizontal="center" vertical="center"/>
    </xf>
    <xf numFmtId="0" fontId="16" fillId="25" borderId="251" xfId="0" applyFont="1" applyFill="1" applyBorder="1" applyAlignment="1">
      <alignment horizontal="center" vertical="center"/>
    </xf>
    <xf numFmtId="2" fontId="13" fillId="25" borderId="245" xfId="0" applyNumberFormat="1" applyFont="1" applyFill="1" applyBorder="1" applyAlignment="1">
      <alignment horizontal="center" vertical="center"/>
    </xf>
    <xf numFmtId="2" fontId="13" fillId="25" borderId="425" xfId="0" applyNumberFormat="1" applyFont="1" applyFill="1" applyBorder="1" applyAlignment="1">
      <alignment horizontal="center" vertical="center"/>
    </xf>
    <xf numFmtId="0" fontId="18" fillId="28" borderId="59" xfId="0" applyFont="1" applyFill="1" applyBorder="1" applyAlignment="1">
      <alignment horizontal="center" vertical="center"/>
    </xf>
    <xf numFmtId="2" fontId="18" fillId="40" borderId="59" xfId="23" applyNumberFormat="1" applyFont="1" applyFill="1" applyBorder="1" applyAlignment="1">
      <alignment horizontal="center" vertical="center"/>
    </xf>
    <xf numFmtId="0" fontId="13" fillId="25" borderId="36" xfId="0" applyFont="1" applyFill="1" applyBorder="1" applyAlignment="1">
      <alignment horizontal="center" vertical="center"/>
    </xf>
    <xf numFmtId="165" fontId="13" fillId="25" borderId="420" xfId="23" applyNumberFormat="1" applyFont="1" applyFill="1" applyBorder="1" applyAlignment="1">
      <alignment horizontal="center" vertical="center"/>
    </xf>
    <xf numFmtId="165" fontId="13" fillId="25" borderId="421" xfId="23" applyNumberFormat="1" applyFont="1" applyFill="1" applyBorder="1" applyAlignment="1">
      <alignment horizontal="center" vertical="center"/>
    </xf>
    <xf numFmtId="0" fontId="13" fillId="25" borderId="422" xfId="0" applyFont="1" applyFill="1" applyBorder="1" applyAlignment="1">
      <alignment horizontal="center" vertical="center"/>
    </xf>
    <xf numFmtId="165" fontId="13" fillId="25" borderId="423" xfId="23" applyNumberFormat="1" applyFont="1" applyFill="1" applyBorder="1" applyAlignment="1">
      <alignment horizontal="center" vertical="center"/>
    </xf>
    <xf numFmtId="165" fontId="13" fillId="25" borderId="424" xfId="23" applyNumberFormat="1" applyFont="1" applyFill="1" applyBorder="1" applyAlignment="1">
      <alignment horizontal="center" vertical="center"/>
    </xf>
    <xf numFmtId="0" fontId="13" fillId="25" borderId="150" xfId="0" applyFont="1" applyFill="1" applyBorder="1" applyAlignment="1">
      <alignment horizontal="center" vertical="center" wrapText="1"/>
    </xf>
    <xf numFmtId="0" fontId="13" fillId="25" borderId="426" xfId="0" applyFont="1" applyFill="1" applyBorder="1" applyAlignment="1">
      <alignment horizontal="center" vertical="center" wrapText="1"/>
    </xf>
    <xf numFmtId="2" fontId="13" fillId="26" borderId="426" xfId="0" applyNumberFormat="1" applyFont="1" applyFill="1" applyBorder="1" applyAlignment="1">
      <alignment horizontal="center" vertical="center"/>
    </xf>
    <xf numFmtId="0" fontId="13" fillId="0" borderId="0" xfId="0" applyFont="1" applyAlignment="1">
      <alignment horizontal="right"/>
    </xf>
    <xf numFmtId="0" fontId="13" fillId="0" borderId="0" xfId="23" applyFont="1" applyAlignment="1">
      <alignment horizontal="right"/>
    </xf>
    <xf numFmtId="0" fontId="13" fillId="25" borderId="58" xfId="0" applyFont="1" applyFill="1" applyBorder="1" applyAlignment="1">
      <alignment horizontal="center" vertical="center"/>
    </xf>
    <xf numFmtId="2" fontId="14" fillId="26" borderId="70" xfId="0" applyNumberFormat="1" applyFont="1" applyFill="1" applyBorder="1" applyAlignment="1">
      <alignment horizontal="center" vertical="center"/>
    </xf>
    <xf numFmtId="165" fontId="13" fillId="0" borderId="37" xfId="35" applyNumberFormat="1" applyFont="1" applyBorder="1" applyAlignment="1">
      <alignment horizontal="left" vertical="center" wrapText="1"/>
    </xf>
    <xf numFmtId="165" fontId="13" fillId="0" borderId="429" xfId="35" applyNumberFormat="1" applyFont="1" applyBorder="1" applyAlignment="1">
      <alignment horizontal="left" vertical="center" wrapText="1"/>
    </xf>
    <xf numFmtId="0" fontId="14" fillId="0" borderId="429" xfId="0" applyFont="1" applyBorder="1" applyAlignment="1">
      <alignment horizontal="left" vertical="center" wrapText="1"/>
    </xf>
    <xf numFmtId="165" fontId="13" fillId="0" borderId="430" xfId="35" applyNumberFormat="1" applyFont="1" applyBorder="1" applyAlignment="1">
      <alignment horizontal="left" vertical="center" wrapText="1"/>
    </xf>
    <xf numFmtId="0" fontId="16" fillId="25" borderId="430" xfId="0" applyFont="1" applyFill="1" applyBorder="1" applyAlignment="1">
      <alignment horizontal="center" vertical="center" wrapText="1"/>
    </xf>
    <xf numFmtId="0" fontId="16" fillId="25" borderId="127" xfId="0" applyFont="1" applyFill="1" applyBorder="1" applyAlignment="1">
      <alignment horizontal="center" vertical="center"/>
    </xf>
    <xf numFmtId="0" fontId="16" fillId="25" borderId="37" xfId="0" applyFont="1" applyFill="1" applyBorder="1" applyAlignment="1">
      <alignment horizontal="center" vertical="center" wrapText="1"/>
    </xf>
    <xf numFmtId="0" fontId="16" fillId="25" borderId="429" xfId="0" applyFont="1" applyFill="1" applyBorder="1" applyAlignment="1">
      <alignment horizontal="center" vertical="center" wrapText="1"/>
    </xf>
    <xf numFmtId="0" fontId="16" fillId="25" borderId="35" xfId="0" applyFont="1" applyFill="1" applyBorder="1" applyAlignment="1">
      <alignment horizontal="center" vertical="center" wrapText="1"/>
    </xf>
    <xf numFmtId="2" fontId="13" fillId="26" borderId="429" xfId="0" applyNumberFormat="1" applyFont="1" applyFill="1" applyBorder="1" applyAlignment="1">
      <alignment horizontal="center" vertical="center"/>
    </xf>
    <xf numFmtId="0" fontId="16" fillId="25" borderId="58" xfId="0" applyFont="1" applyFill="1" applyBorder="1" applyAlignment="1">
      <alignment horizontal="center" vertical="center" wrapText="1"/>
    </xf>
    <xf numFmtId="0" fontId="14" fillId="0" borderId="432" xfId="0" applyFont="1" applyBorder="1" applyAlignment="1">
      <alignment horizontal="left" vertical="center" wrapText="1"/>
    </xf>
    <xf numFmtId="0" fontId="14" fillId="0" borderId="340" xfId="0" applyFont="1" applyBorder="1" applyAlignment="1">
      <alignment horizontal="left" vertical="center" wrapText="1"/>
    </xf>
    <xf numFmtId="0" fontId="14" fillId="0" borderId="180" xfId="0" applyFont="1" applyBorder="1" applyAlignment="1">
      <alignment vertical="center" wrapText="1"/>
    </xf>
    <xf numFmtId="2" fontId="18" fillId="28" borderId="59" xfId="0" applyNumberFormat="1" applyFont="1" applyFill="1" applyBorder="1" applyAlignment="1">
      <alignment horizontal="center" vertical="center"/>
    </xf>
    <xf numFmtId="0" fontId="16" fillId="25" borderId="81" xfId="0" applyFont="1" applyFill="1" applyBorder="1" applyAlignment="1">
      <alignment vertical="center" wrapText="1"/>
    </xf>
    <xf numFmtId="2" fontId="36" fillId="29" borderId="138" xfId="0" applyNumberFormat="1" applyFont="1" applyFill="1" applyBorder="1" applyAlignment="1">
      <alignment horizontal="center" vertical="center"/>
    </xf>
    <xf numFmtId="0" fontId="18" fillId="28" borderId="58" xfId="0" applyFont="1" applyFill="1" applyBorder="1" applyAlignment="1">
      <alignment horizontal="center" vertical="center"/>
    </xf>
    <xf numFmtId="2" fontId="18" fillId="28" borderId="283" xfId="0" applyNumberFormat="1" applyFont="1" applyFill="1" applyBorder="1" applyAlignment="1">
      <alignment horizontal="center" vertical="center"/>
    </xf>
    <xf numFmtId="2" fontId="18" fillId="28" borderId="284" xfId="0" applyNumberFormat="1" applyFont="1" applyFill="1" applyBorder="1" applyAlignment="1">
      <alignment horizontal="center" vertical="center"/>
    </xf>
    <xf numFmtId="2" fontId="18" fillId="28" borderId="34" xfId="0" applyNumberFormat="1" applyFont="1" applyFill="1" applyBorder="1" applyAlignment="1">
      <alignment horizontal="center" vertical="center"/>
    </xf>
    <xf numFmtId="2" fontId="13" fillId="25" borderId="80" xfId="0" applyNumberFormat="1" applyFont="1" applyFill="1" applyBorder="1" applyAlignment="1">
      <alignment horizontal="center" vertical="center"/>
    </xf>
    <xf numFmtId="2" fontId="13" fillId="25" borderId="279" xfId="0" applyNumberFormat="1" applyFont="1" applyFill="1" applyBorder="1" applyAlignment="1">
      <alignment horizontal="center" vertical="center"/>
    </xf>
    <xf numFmtId="2" fontId="13" fillId="25" borderId="76" xfId="0" applyNumberFormat="1" applyFont="1" applyFill="1" applyBorder="1" applyAlignment="1">
      <alignment horizontal="center" vertical="center" wrapText="1"/>
    </xf>
    <xf numFmtId="2" fontId="14" fillId="26" borderId="58" xfId="0" applyNumberFormat="1" applyFont="1" applyFill="1" applyBorder="1" applyAlignment="1">
      <alignment horizontal="center" vertical="center"/>
    </xf>
    <xf numFmtId="0" fontId="13" fillId="25" borderId="109" xfId="0" applyFont="1" applyFill="1" applyBorder="1" applyAlignment="1">
      <alignment horizontal="center" vertical="center"/>
    </xf>
    <xf numFmtId="165" fontId="13" fillId="25" borderId="433" xfId="23" applyNumberFormat="1" applyFont="1" applyFill="1" applyBorder="1" applyAlignment="1">
      <alignment horizontal="center" vertical="center"/>
    </xf>
    <xf numFmtId="165" fontId="13" fillId="25" borderId="110" xfId="23" applyNumberFormat="1" applyFont="1" applyFill="1" applyBorder="1" applyAlignment="1">
      <alignment horizontal="center" vertical="center"/>
    </xf>
    <xf numFmtId="0" fontId="16" fillId="25" borderId="434" xfId="0" applyFont="1" applyFill="1" applyBorder="1" applyAlignment="1">
      <alignment vertical="center" wrapText="1"/>
    </xf>
    <xf numFmtId="2" fontId="13" fillId="25" borderId="49" xfId="0" applyNumberFormat="1" applyFont="1" applyFill="1" applyBorder="1" applyAlignment="1">
      <alignment horizontal="center" vertical="center"/>
    </xf>
    <xf numFmtId="2" fontId="13" fillId="25" borderId="34" xfId="0" applyNumberFormat="1" applyFont="1" applyFill="1" applyBorder="1" applyAlignment="1">
      <alignment horizontal="center" vertical="center"/>
    </xf>
    <xf numFmtId="0" fontId="14" fillId="0" borderId="431" xfId="0" applyFont="1" applyBorder="1" applyAlignment="1">
      <alignment vertical="center" wrapText="1"/>
    </xf>
    <xf numFmtId="166" fontId="15" fillId="27" borderId="335" xfId="0" applyNumberFormat="1" applyFont="1" applyFill="1" applyBorder="1" applyAlignment="1">
      <alignment horizontal="center" vertical="center"/>
    </xf>
    <xf numFmtId="166" fontId="13" fillId="26" borderId="76" xfId="0" applyNumberFormat="1" applyFont="1" applyFill="1" applyBorder="1" applyAlignment="1">
      <alignment horizontal="center" vertical="center"/>
    </xf>
    <xf numFmtId="2" fontId="13" fillId="26" borderId="76" xfId="0" applyNumberFormat="1" applyFont="1" applyFill="1" applyBorder="1" applyAlignment="1">
      <alignment horizontal="center" vertical="center"/>
    </xf>
    <xf numFmtId="0" fontId="13" fillId="0" borderId="58" xfId="0" applyFont="1" applyBorder="1" applyAlignment="1">
      <alignment vertical="center" wrapText="1"/>
    </xf>
    <xf numFmtId="2" fontId="13" fillId="25" borderId="77" xfId="0" applyNumberFormat="1" applyFont="1" applyFill="1" applyBorder="1" applyAlignment="1">
      <alignment horizontal="center" vertical="center"/>
    </xf>
    <xf numFmtId="2" fontId="13" fillId="25" borderId="283" xfId="0" applyNumberFormat="1" applyFont="1" applyFill="1" applyBorder="1" applyAlignment="1">
      <alignment horizontal="center" vertical="center"/>
    </xf>
    <xf numFmtId="2" fontId="13" fillId="25" borderId="284" xfId="0" applyNumberFormat="1" applyFont="1" applyFill="1" applyBorder="1" applyAlignment="1">
      <alignment horizontal="center" vertical="center"/>
    </xf>
    <xf numFmtId="0" fontId="14" fillId="25" borderId="58" xfId="0" applyFont="1" applyFill="1" applyBorder="1" applyAlignment="1">
      <alignment horizontal="center" vertical="center"/>
    </xf>
    <xf numFmtId="1" fontId="13" fillId="25" borderId="59" xfId="0" applyNumberFormat="1" applyFont="1" applyFill="1" applyBorder="1" applyAlignment="1">
      <alignment vertical="center" wrapText="1"/>
    </xf>
    <xf numFmtId="1" fontId="13" fillId="25" borderId="49" xfId="0" applyNumberFormat="1" applyFont="1" applyFill="1" applyBorder="1" applyAlignment="1">
      <alignment vertical="center" wrapText="1"/>
    </xf>
    <xf numFmtId="1" fontId="13" fillId="25" borderId="58" xfId="0" applyNumberFormat="1" applyFont="1" applyFill="1" applyBorder="1" applyAlignment="1">
      <alignment vertical="center" wrapText="1"/>
    </xf>
    <xf numFmtId="2" fontId="13" fillId="25" borderId="59" xfId="0" applyNumberFormat="1" applyFont="1" applyFill="1" applyBorder="1" applyAlignment="1">
      <alignment horizontal="center" vertical="center"/>
    </xf>
    <xf numFmtId="49" fontId="16" fillId="25" borderId="54" xfId="0" applyNumberFormat="1" applyFont="1" applyFill="1" applyBorder="1" applyAlignment="1">
      <alignment horizontal="center" vertical="center"/>
    </xf>
    <xf numFmtId="0" fontId="14" fillId="0" borderId="369" xfId="0" applyFont="1" applyBorder="1" applyAlignment="1">
      <alignment vertical="center" wrapText="1"/>
    </xf>
    <xf numFmtId="166" fontId="24" fillId="25" borderId="184" xfId="0" applyNumberFormat="1" applyFont="1" applyFill="1" applyBorder="1" applyAlignment="1">
      <alignment horizontal="center" vertical="center"/>
    </xf>
    <xf numFmtId="165" fontId="24" fillId="25" borderId="143" xfId="0" applyNumberFormat="1" applyFont="1" applyFill="1" applyBorder="1" applyAlignment="1">
      <alignment horizontal="center" vertical="center"/>
    </xf>
    <xf numFmtId="165" fontId="24" fillId="25" borderId="141" xfId="0" applyNumberFormat="1" applyFont="1" applyFill="1" applyBorder="1" applyAlignment="1">
      <alignment horizontal="center" vertical="center"/>
    </xf>
    <xf numFmtId="2" fontId="14" fillId="26" borderId="33" xfId="23" applyNumberFormat="1" applyFont="1" applyFill="1" applyBorder="1" applyAlignment="1">
      <alignment horizontal="center" vertical="center"/>
    </xf>
    <xf numFmtId="2" fontId="14" fillId="26" borderId="127" xfId="23" applyNumberFormat="1" applyFont="1" applyFill="1" applyBorder="1" applyAlignment="1">
      <alignment horizontal="center" vertical="center"/>
    </xf>
    <xf numFmtId="2" fontId="13" fillId="26" borderId="47" xfId="0" applyNumberFormat="1" applyFont="1" applyFill="1" applyBorder="1" applyAlignment="1">
      <alignment horizontal="center" vertical="top"/>
    </xf>
    <xf numFmtId="2" fontId="13" fillId="26" borderId="33" xfId="0" applyNumberFormat="1" applyFont="1" applyFill="1" applyBorder="1" applyAlignment="1">
      <alignment horizontal="center" vertical="top"/>
    </xf>
    <xf numFmtId="2" fontId="13" fillId="26" borderId="126" xfId="0" applyNumberFormat="1" applyFont="1" applyFill="1" applyBorder="1" applyAlignment="1">
      <alignment horizontal="center" vertical="top"/>
    </xf>
    <xf numFmtId="0" fontId="13" fillId="26" borderId="58" xfId="0" applyFont="1" applyFill="1" applyBorder="1" applyAlignment="1">
      <alignment horizontal="center" vertical="center"/>
    </xf>
    <xf numFmtId="0" fontId="13" fillId="0" borderId="70" xfId="0" applyFont="1" applyBorder="1" applyAlignment="1">
      <alignment vertical="center" wrapText="1"/>
    </xf>
    <xf numFmtId="0" fontId="13" fillId="0" borderId="49" xfId="0" applyFont="1" applyBorder="1" applyAlignment="1">
      <alignment vertical="center" wrapText="1"/>
    </xf>
    <xf numFmtId="0" fontId="14" fillId="0" borderId="437" xfId="0" applyFont="1" applyBorder="1" applyAlignment="1">
      <alignment vertical="center" wrapText="1"/>
    </xf>
    <xf numFmtId="0" fontId="13" fillId="0" borderId="0" xfId="0" applyFont="1" applyAlignment="1">
      <alignment vertical="center" wrapText="1"/>
    </xf>
    <xf numFmtId="166" fontId="20" fillId="25" borderId="0" xfId="0" applyNumberFormat="1" applyFont="1" applyFill="1" applyAlignment="1">
      <alignment horizontal="center" vertical="center" wrapText="1"/>
    </xf>
    <xf numFmtId="2" fontId="18" fillId="27" borderId="257" xfId="0" applyNumberFormat="1" applyFont="1" applyFill="1" applyBorder="1" applyAlignment="1">
      <alignment horizontal="center" vertical="center"/>
    </xf>
    <xf numFmtId="166" fontId="20" fillId="25" borderId="76" xfId="0" applyNumberFormat="1" applyFont="1" applyFill="1" applyBorder="1" applyAlignment="1">
      <alignment horizontal="center" vertical="center" wrapText="1"/>
    </xf>
    <xf numFmtId="2" fontId="14" fillId="26" borderId="87" xfId="0" applyNumberFormat="1" applyFont="1" applyFill="1" applyBorder="1" applyAlignment="1">
      <alignment horizontal="center" vertical="center"/>
    </xf>
    <xf numFmtId="0" fontId="13" fillId="0" borderId="70" xfId="0" quotePrefix="1" applyFont="1" applyBorder="1" applyAlignment="1">
      <alignment horizontal="center" vertical="center" wrapText="1"/>
    </xf>
    <xf numFmtId="0" fontId="13" fillId="0" borderId="34" xfId="0" quotePrefix="1" applyFont="1" applyBorder="1" applyAlignment="1">
      <alignment horizontal="center" vertical="center" wrapText="1"/>
    </xf>
    <xf numFmtId="1" fontId="20" fillId="0" borderId="70" xfId="0" applyNumberFormat="1" applyFont="1" applyBorder="1" applyAlignment="1">
      <alignment horizontal="left" vertical="center" wrapText="1"/>
    </xf>
    <xf numFmtId="1" fontId="20" fillId="0" borderId="59" xfId="0" applyNumberFormat="1" applyFont="1" applyBorder="1" applyAlignment="1">
      <alignment horizontal="left" vertical="center" wrapText="1"/>
    </xf>
    <xf numFmtId="1" fontId="20" fillId="0" borderId="49" xfId="0" applyNumberFormat="1" applyFont="1" applyBorder="1" applyAlignment="1">
      <alignment horizontal="left" vertical="center" wrapText="1"/>
    </xf>
    <xf numFmtId="0" fontId="14" fillId="0" borderId="32" xfId="0" quotePrefix="1" applyFont="1" applyBorder="1" applyAlignment="1">
      <alignment horizontal="center" vertical="center" wrapText="1"/>
    </xf>
    <xf numFmtId="0" fontId="14" fillId="0" borderId="70" xfId="0" quotePrefix="1" applyFont="1" applyBorder="1" applyAlignment="1">
      <alignment horizontal="center" vertical="center" wrapText="1"/>
    </xf>
    <xf numFmtId="0" fontId="20" fillId="0" borderId="33" xfId="0" applyFont="1" applyBorder="1" applyAlignment="1">
      <alignment horizontal="center" vertical="center" wrapText="1"/>
    </xf>
    <xf numFmtId="0" fontId="20" fillId="0" borderId="70" xfId="0" applyFont="1" applyBorder="1" applyAlignment="1">
      <alignment horizontal="left" vertical="center" wrapText="1"/>
    </xf>
    <xf numFmtId="0" fontId="20" fillId="0" borderId="49" xfId="0" applyFont="1" applyBorder="1" applyAlignment="1">
      <alignment horizontal="left" vertical="center" wrapText="1"/>
    </xf>
    <xf numFmtId="0" fontId="13" fillId="0" borderId="54" xfId="0" applyFont="1" applyBorder="1" applyAlignment="1">
      <alignment horizontal="center" vertical="center"/>
    </xf>
    <xf numFmtId="0" fontId="13" fillId="0" borderId="217" xfId="0" applyFont="1" applyBorder="1" applyAlignment="1">
      <alignment horizontal="center" vertical="center"/>
    </xf>
    <xf numFmtId="49" fontId="20" fillId="0" borderId="70" xfId="0" applyNumberFormat="1" applyFont="1" applyBorder="1" applyAlignment="1">
      <alignment horizontal="left" vertical="center" wrapText="1"/>
    </xf>
    <xf numFmtId="49" fontId="20" fillId="0" borderId="49" xfId="0" applyNumberFormat="1" applyFont="1" applyBorder="1" applyAlignment="1">
      <alignment horizontal="left" vertical="center" wrapText="1"/>
    </xf>
    <xf numFmtId="0" fontId="13" fillId="25" borderId="70" xfId="0" applyFont="1" applyFill="1" applyBorder="1" applyAlignment="1">
      <alignment horizontal="center" textRotation="90" wrapText="1"/>
    </xf>
    <xf numFmtId="0" fontId="13" fillId="25" borderId="49" xfId="0" applyFont="1" applyFill="1" applyBorder="1" applyAlignment="1">
      <alignment horizontal="center" textRotation="90" wrapText="1"/>
    </xf>
    <xf numFmtId="0" fontId="15" fillId="31" borderId="76" xfId="0" applyFont="1" applyFill="1" applyBorder="1" applyAlignment="1">
      <alignment horizontal="left" vertical="top" wrapText="1"/>
    </xf>
    <xf numFmtId="0" fontId="15" fillId="31" borderId="77" xfId="0" applyFont="1" applyFill="1" applyBorder="1" applyAlignment="1">
      <alignment horizontal="left" vertical="top" wrapText="1"/>
    </xf>
    <xf numFmtId="0" fontId="15" fillId="31" borderId="65" xfId="0" applyFont="1" applyFill="1" applyBorder="1" applyAlignment="1">
      <alignment horizontal="left" vertical="top" wrapText="1"/>
    </xf>
    <xf numFmtId="0" fontId="15" fillId="30" borderId="76" xfId="0" applyFont="1" applyFill="1" applyBorder="1" applyAlignment="1">
      <alignment horizontal="left" vertical="top"/>
    </xf>
    <xf numFmtId="0" fontId="15" fillId="30" borderId="77" xfId="0" applyFont="1" applyFill="1" applyBorder="1" applyAlignment="1">
      <alignment horizontal="left" vertical="top"/>
    </xf>
    <xf numFmtId="0" fontId="15" fillId="30" borderId="65" xfId="0" applyFont="1" applyFill="1" applyBorder="1" applyAlignment="1">
      <alignment horizontal="left" vertical="top"/>
    </xf>
    <xf numFmtId="0" fontId="15" fillId="29" borderId="32" xfId="0" applyFont="1" applyFill="1" applyBorder="1" applyAlignment="1">
      <alignment horizontal="left" vertical="top" wrapText="1"/>
    </xf>
    <xf numFmtId="0" fontId="15" fillId="29" borderId="77" xfId="0" applyFont="1" applyFill="1" applyBorder="1" applyAlignment="1">
      <alignment horizontal="left" vertical="top" wrapText="1"/>
    </xf>
    <xf numFmtId="0" fontId="15" fillId="29" borderId="63" xfId="0" applyFont="1" applyFill="1" applyBorder="1" applyAlignment="1">
      <alignment horizontal="left" vertical="top" wrapText="1"/>
    </xf>
    <xf numFmtId="0" fontId="15" fillId="29" borderId="105" xfId="0" applyFont="1" applyFill="1" applyBorder="1" applyAlignment="1">
      <alignment horizontal="left" vertical="top" wrapText="1"/>
    </xf>
    <xf numFmtId="166" fontId="13" fillId="0" borderId="5" xfId="0" applyNumberFormat="1" applyFont="1" applyBorder="1" applyAlignment="1">
      <alignment horizontal="left" vertical="top" wrapText="1"/>
    </xf>
    <xf numFmtId="166" fontId="29" fillId="0" borderId="5" xfId="0" applyNumberFormat="1" applyFont="1" applyBorder="1" applyAlignment="1">
      <alignment horizontal="left" vertical="top" wrapText="1"/>
    </xf>
    <xf numFmtId="166" fontId="13" fillId="0" borderId="70" xfId="0" applyNumberFormat="1" applyFont="1" applyBorder="1" applyAlignment="1">
      <alignment horizontal="center" vertical="center" wrapText="1"/>
    </xf>
    <xf numFmtId="166" fontId="13" fillId="0" borderId="49" xfId="0" applyNumberFormat="1" applyFont="1" applyBorder="1" applyAlignment="1">
      <alignment horizontal="center" vertical="center" wrapText="1"/>
    </xf>
    <xf numFmtId="1" fontId="20" fillId="0" borderId="32" xfId="0" applyNumberFormat="1" applyFont="1" applyBorder="1" applyAlignment="1">
      <alignment horizontal="left" vertical="center" wrapText="1"/>
    </xf>
    <xf numFmtId="1" fontId="20" fillId="0" borderId="34" xfId="0" applyNumberFormat="1" applyFont="1" applyBorder="1" applyAlignment="1">
      <alignment horizontal="left" vertical="center" wrapText="1"/>
    </xf>
    <xf numFmtId="0" fontId="13" fillId="0" borderId="97" xfId="0" applyFont="1" applyBorder="1" applyAlignment="1">
      <alignment horizontal="center" textRotation="90" wrapText="1"/>
    </xf>
    <xf numFmtId="0" fontId="13" fillId="0" borderId="47" xfId="0" applyFont="1" applyBorder="1" applyAlignment="1">
      <alignment horizontal="center" textRotation="90" wrapText="1"/>
    </xf>
    <xf numFmtId="0" fontId="13" fillId="0" borderId="41" xfId="0" applyFont="1" applyBorder="1" applyAlignment="1">
      <alignment horizontal="center" textRotation="90" wrapText="1"/>
    </xf>
    <xf numFmtId="49" fontId="15" fillId="30" borderId="82" xfId="0" applyNumberFormat="1" applyFont="1" applyFill="1" applyBorder="1" applyAlignment="1">
      <alignment horizontal="center" vertical="top"/>
    </xf>
    <xf numFmtId="49" fontId="15" fillId="30" borderId="57" xfId="0" applyNumberFormat="1" applyFont="1" applyFill="1" applyBorder="1" applyAlignment="1">
      <alignment horizontal="center" vertical="top"/>
    </xf>
    <xf numFmtId="49" fontId="15" fillId="30" borderId="208" xfId="0" applyNumberFormat="1" applyFont="1" applyFill="1" applyBorder="1" applyAlignment="1">
      <alignment horizontal="center" vertical="top"/>
    </xf>
    <xf numFmtId="49" fontId="15" fillId="30" borderId="33" xfId="0" applyNumberFormat="1" applyFont="1" applyFill="1" applyBorder="1" applyAlignment="1">
      <alignment horizontal="center" vertical="top"/>
    </xf>
    <xf numFmtId="49" fontId="15" fillId="29" borderId="136" xfId="0" applyNumberFormat="1" applyFont="1" applyFill="1" applyBorder="1" applyAlignment="1">
      <alignment horizontal="center" vertical="top"/>
    </xf>
    <xf numFmtId="49" fontId="15" fillId="29" borderId="137" xfId="0" applyNumberFormat="1" applyFont="1" applyFill="1" applyBorder="1" applyAlignment="1">
      <alignment horizontal="center" vertical="top"/>
    </xf>
    <xf numFmtId="166" fontId="15" fillId="0" borderId="136" xfId="0" applyNumberFormat="1" applyFont="1" applyBorder="1" applyAlignment="1">
      <alignment horizontal="center" vertical="top"/>
    </xf>
    <xf numFmtId="166" fontId="15" fillId="0" borderId="137" xfId="0" applyNumberFormat="1" applyFont="1" applyBorder="1" applyAlignment="1">
      <alignment horizontal="center" vertical="top"/>
    </xf>
    <xf numFmtId="0" fontId="14" fillId="0" borderId="136" xfId="0" applyFont="1" applyBorder="1" applyAlignment="1">
      <alignment horizontal="left" vertical="top" wrapText="1"/>
    </xf>
    <xf numFmtId="0" fontId="14" fillId="0" borderId="137" xfId="0" applyFont="1" applyBorder="1" applyAlignment="1">
      <alignment horizontal="left" vertical="top" wrapText="1"/>
    </xf>
    <xf numFmtId="166" fontId="13" fillId="25" borderId="132" xfId="0" applyNumberFormat="1" applyFont="1" applyFill="1" applyBorder="1" applyAlignment="1">
      <alignment horizontal="center" vertical="center"/>
    </xf>
    <xf numFmtId="166" fontId="13" fillId="25" borderId="126" xfId="0" applyNumberFormat="1" applyFont="1" applyFill="1" applyBorder="1" applyAlignment="1">
      <alignment horizontal="center" vertical="center"/>
    </xf>
    <xf numFmtId="166" fontId="14" fillId="0" borderId="0" xfId="0" applyNumberFormat="1" applyFont="1" applyAlignment="1">
      <alignment horizontal="left" vertical="top" wrapText="1"/>
    </xf>
    <xf numFmtId="166" fontId="13" fillId="0" borderId="0" xfId="0" applyNumberFormat="1" applyFont="1" applyAlignment="1">
      <alignment horizontal="left" vertical="top" wrapText="1"/>
    </xf>
    <xf numFmtId="0" fontId="13" fillId="0" borderId="43" xfId="0" applyFont="1" applyBorder="1" applyAlignment="1">
      <alignment horizontal="center" textRotation="90" wrapText="1"/>
    </xf>
    <xf numFmtId="0" fontId="13" fillId="0" borderId="11" xfId="0" applyFont="1" applyBorder="1" applyAlignment="1">
      <alignment horizontal="center" textRotation="90" wrapText="1"/>
    </xf>
    <xf numFmtId="0" fontId="13" fillId="0" borderId="60" xfId="0" applyFont="1" applyBorder="1" applyAlignment="1">
      <alignment horizontal="center" textRotation="90" wrapText="1"/>
    </xf>
    <xf numFmtId="0" fontId="14" fillId="0" borderId="0" xfId="0" applyFont="1" applyAlignment="1">
      <alignment horizontal="left" wrapText="1"/>
    </xf>
    <xf numFmtId="0" fontId="14" fillId="0" borderId="70" xfId="0" applyFont="1" applyBorder="1" applyAlignment="1">
      <alignment horizontal="left" vertical="center" wrapText="1"/>
    </xf>
    <xf numFmtId="0" fontId="14" fillId="0" borderId="59" xfId="0" applyFont="1" applyBorder="1" applyAlignment="1">
      <alignment horizontal="left" vertical="center" wrapText="1"/>
    </xf>
    <xf numFmtId="0" fontId="14" fillId="0" borderId="49" xfId="0" applyFont="1" applyBorder="1" applyAlignment="1">
      <alignment horizontal="left" vertical="center" wrapText="1"/>
    </xf>
    <xf numFmtId="0" fontId="14" fillId="0" borderId="126" xfId="0" applyFont="1" applyBorder="1" applyAlignment="1">
      <alignment horizontal="left" vertical="center" wrapText="1"/>
    </xf>
    <xf numFmtId="1" fontId="28" fillId="0" borderId="136" xfId="0" quotePrefix="1" applyNumberFormat="1" applyFont="1" applyBorder="1" applyAlignment="1">
      <alignment horizontal="center" vertical="center" wrapText="1"/>
    </xf>
    <xf numFmtId="1" fontId="13" fillId="0" borderId="137" xfId="0" quotePrefix="1" applyNumberFormat="1" applyFont="1" applyBorder="1" applyAlignment="1">
      <alignment horizontal="center" vertical="center" wrapText="1"/>
    </xf>
    <xf numFmtId="1" fontId="13" fillId="0" borderId="138" xfId="0" quotePrefix="1" applyNumberFormat="1" applyFont="1" applyBorder="1" applyAlignment="1">
      <alignment horizontal="center" vertical="center" wrapText="1"/>
    </xf>
    <xf numFmtId="0" fontId="14" fillId="0" borderId="0" xfId="0" applyFont="1" applyAlignment="1">
      <alignment horizontal="left" vertical="top" wrapText="1"/>
    </xf>
    <xf numFmtId="1" fontId="13" fillId="25" borderId="136" xfId="0" applyNumberFormat="1" applyFont="1" applyFill="1" applyBorder="1" applyAlignment="1">
      <alignment horizontal="left" vertical="center" wrapText="1"/>
    </xf>
    <xf numFmtId="1" fontId="13" fillId="25" borderId="137" xfId="0" applyNumberFormat="1" applyFont="1" applyFill="1" applyBorder="1" applyAlignment="1">
      <alignment horizontal="left" vertical="center" wrapText="1"/>
    </xf>
    <xf numFmtId="0" fontId="14" fillId="0" borderId="139" xfId="0" applyFont="1" applyBorder="1" applyAlignment="1">
      <alignment horizontal="left" vertical="center" wrapText="1"/>
    </xf>
    <xf numFmtId="0" fontId="14" fillId="0" borderId="181" xfId="0" applyFont="1" applyBorder="1" applyAlignment="1">
      <alignment horizontal="left" vertical="center" wrapText="1"/>
    </xf>
    <xf numFmtId="166" fontId="13" fillId="0" borderId="136" xfId="0" applyNumberFormat="1" applyFont="1" applyBorder="1" applyAlignment="1">
      <alignment horizontal="center" vertical="center" wrapText="1"/>
    </xf>
    <xf numFmtId="166" fontId="13" fillId="0" borderId="137" xfId="0" applyNumberFormat="1" applyFont="1" applyBorder="1" applyAlignment="1">
      <alignment horizontal="center" vertical="center" wrapText="1"/>
    </xf>
    <xf numFmtId="166" fontId="13" fillId="0" borderId="138" xfId="0" applyNumberFormat="1" applyFont="1" applyBorder="1" applyAlignment="1">
      <alignment horizontal="center" vertical="center" wrapText="1"/>
    </xf>
    <xf numFmtId="1" fontId="14" fillId="0" borderId="136" xfId="0" applyNumberFormat="1" applyFont="1" applyBorder="1" applyAlignment="1">
      <alignment horizontal="left" vertical="center" wrapText="1"/>
    </xf>
    <xf numFmtId="1" fontId="13" fillId="0" borderId="137" xfId="0" applyNumberFormat="1" applyFont="1" applyBorder="1" applyAlignment="1">
      <alignment horizontal="left" vertical="center" wrapText="1"/>
    </xf>
    <xf numFmtId="1" fontId="13" fillId="0" borderId="138" xfId="0" applyNumberFormat="1" applyFont="1" applyBorder="1" applyAlignment="1">
      <alignment horizontal="left" vertical="center" wrapText="1"/>
    </xf>
    <xf numFmtId="166" fontId="20" fillId="0" borderId="70" xfId="0" applyNumberFormat="1" applyFont="1" applyBorder="1" applyAlignment="1">
      <alignment horizontal="center" vertical="center" wrapText="1"/>
    </xf>
    <xf numFmtId="166" fontId="20" fillId="0" borderId="59" xfId="0" applyNumberFormat="1" applyFont="1" applyBorder="1" applyAlignment="1">
      <alignment horizontal="center" vertical="center" wrapText="1"/>
    </xf>
    <xf numFmtId="166" fontId="20" fillId="0" borderId="49" xfId="0" applyNumberFormat="1" applyFont="1" applyBorder="1" applyAlignment="1">
      <alignment horizontal="center" vertical="center" wrapText="1"/>
    </xf>
    <xf numFmtId="49" fontId="18" fillId="29" borderId="32" xfId="0" applyNumberFormat="1" applyFont="1" applyFill="1" applyBorder="1" applyAlignment="1">
      <alignment horizontal="center" vertical="top"/>
    </xf>
    <xf numFmtId="49" fontId="18" fillId="29" borderId="33" xfId="0" applyNumberFormat="1" applyFont="1" applyFill="1" applyBorder="1" applyAlignment="1">
      <alignment horizontal="center" vertical="top"/>
    </xf>
    <xf numFmtId="49" fontId="18" fillId="29" borderId="34" xfId="0" applyNumberFormat="1" applyFont="1" applyFill="1" applyBorder="1" applyAlignment="1">
      <alignment horizontal="center" vertical="top"/>
    </xf>
    <xf numFmtId="49" fontId="18" fillId="0" borderId="136" xfId="0" applyNumberFormat="1" applyFont="1" applyBorder="1" applyAlignment="1">
      <alignment horizontal="center" vertical="top" wrapText="1"/>
    </xf>
    <xf numFmtId="49" fontId="18" fillId="0" borderId="137" xfId="0" applyNumberFormat="1" applyFont="1" applyBorder="1" applyAlignment="1">
      <alignment horizontal="center" vertical="top" wrapText="1"/>
    </xf>
    <xf numFmtId="49" fontId="18" fillId="0" borderId="138" xfId="0" applyNumberFormat="1" applyFont="1" applyBorder="1" applyAlignment="1">
      <alignment horizontal="center" vertical="top" wrapText="1"/>
    </xf>
    <xf numFmtId="0" fontId="14" fillId="0" borderId="140" xfId="0" applyFont="1" applyBorder="1" applyAlignment="1">
      <alignment horizontal="left" vertical="top" wrapText="1"/>
    </xf>
    <xf numFmtId="0" fontId="14" fillId="0" borderId="141" xfId="0" applyFont="1" applyBorder="1" applyAlignment="1">
      <alignment horizontal="left" vertical="top" wrapText="1"/>
    </xf>
    <xf numFmtId="0" fontId="14" fillId="0" borderId="135" xfId="0" applyFont="1" applyBorder="1" applyAlignment="1">
      <alignment horizontal="left" vertical="top" wrapText="1"/>
    </xf>
    <xf numFmtId="166" fontId="15" fillId="29" borderId="76" xfId="0" applyNumberFormat="1" applyFont="1" applyFill="1" applyBorder="1" applyAlignment="1">
      <alignment horizontal="right" vertical="top"/>
    </xf>
    <xf numFmtId="166" fontId="15" fillId="29" borderId="90" xfId="0" applyNumberFormat="1" applyFont="1" applyFill="1" applyBorder="1" applyAlignment="1">
      <alignment horizontal="right" vertical="top"/>
    </xf>
    <xf numFmtId="166" fontId="15" fillId="29" borderId="89" xfId="0" applyNumberFormat="1" applyFont="1" applyFill="1" applyBorder="1" applyAlignment="1">
      <alignment horizontal="right" vertical="top"/>
    </xf>
    <xf numFmtId="166" fontId="15" fillId="29" borderId="61" xfId="0" applyNumberFormat="1" applyFont="1" applyFill="1" applyBorder="1" applyAlignment="1">
      <alignment horizontal="right" vertical="top"/>
    </xf>
    <xf numFmtId="0" fontId="13" fillId="25" borderId="159" xfId="0" quotePrefix="1" applyFont="1" applyFill="1" applyBorder="1" applyAlignment="1">
      <alignment horizontal="center" vertical="center" wrapText="1"/>
    </xf>
    <xf numFmtId="0" fontId="13" fillId="25" borderId="34" xfId="0" applyFont="1" applyFill="1" applyBorder="1" applyAlignment="1">
      <alignment horizontal="center" vertical="center" wrapText="1"/>
    </xf>
    <xf numFmtId="166" fontId="13" fillId="0" borderId="26" xfId="0" applyNumberFormat="1" applyFont="1" applyBorder="1" applyAlignment="1">
      <alignment horizontal="left" vertical="top" wrapText="1"/>
    </xf>
    <xf numFmtId="0" fontId="13" fillId="0" borderId="32" xfId="0" applyFont="1" applyBorder="1" applyAlignment="1">
      <alignment horizontal="center" vertical="center" wrapText="1"/>
    </xf>
    <xf numFmtId="0" fontId="13" fillId="0" borderId="129" xfId="0" applyFont="1" applyBorder="1" applyAlignment="1">
      <alignment horizontal="center" vertical="center" wrapText="1"/>
    </xf>
    <xf numFmtId="49" fontId="15" fillId="0" borderId="140" xfId="0" applyNumberFormat="1" applyFont="1" applyBorder="1" applyAlignment="1">
      <alignment horizontal="center" vertical="top"/>
    </xf>
    <xf numFmtId="49" fontId="15" fillId="0" borderId="181" xfId="0" applyNumberFormat="1" applyFont="1" applyBorder="1" applyAlignment="1">
      <alignment horizontal="center" vertical="top"/>
    </xf>
    <xf numFmtId="49" fontId="15" fillId="0" borderId="141" xfId="0" applyNumberFormat="1" applyFont="1" applyBorder="1" applyAlignment="1">
      <alignment horizontal="center" vertical="top"/>
    </xf>
    <xf numFmtId="49" fontId="15" fillId="0" borderId="139" xfId="0" applyNumberFormat="1" applyFont="1" applyBorder="1" applyAlignment="1">
      <alignment horizontal="center" vertical="top"/>
    </xf>
    <xf numFmtId="49" fontId="15" fillId="0" borderId="135" xfId="0" applyNumberFormat="1" applyFont="1" applyBorder="1" applyAlignment="1">
      <alignment horizontal="center" vertical="top"/>
    </xf>
    <xf numFmtId="0" fontId="14" fillId="0" borderId="156" xfId="0" applyFont="1" applyBorder="1" applyAlignment="1">
      <alignment horizontal="left" vertical="top" wrapText="1"/>
    </xf>
    <xf numFmtId="0" fontId="13" fillId="25" borderId="159" xfId="0" applyFont="1" applyFill="1" applyBorder="1" applyAlignment="1">
      <alignment horizontal="left" vertical="center" wrapText="1"/>
    </xf>
    <xf numFmtId="0" fontId="13" fillId="25" borderId="49" xfId="0" applyFont="1" applyFill="1" applyBorder="1" applyAlignment="1">
      <alignment horizontal="left" vertical="center" wrapText="1"/>
    </xf>
    <xf numFmtId="166" fontId="13" fillId="0" borderId="158" xfId="0" applyNumberFormat="1" applyFont="1" applyBorder="1" applyAlignment="1">
      <alignment vertical="top" wrapText="1"/>
    </xf>
    <xf numFmtId="166" fontId="13" fillId="0" borderId="26" xfId="0" applyNumberFormat="1" applyFont="1" applyBorder="1" applyAlignment="1">
      <alignment vertical="top" wrapText="1"/>
    </xf>
    <xf numFmtId="166" fontId="15" fillId="0" borderId="11" xfId="0" applyNumberFormat="1" applyFont="1" applyBorder="1" applyAlignment="1">
      <alignment horizontal="center" vertical="top"/>
    </xf>
    <xf numFmtId="166" fontId="15" fillId="0" borderId="13" xfId="0" applyNumberFormat="1" applyFont="1" applyBorder="1" applyAlignment="1">
      <alignment horizontal="center" vertical="top"/>
    </xf>
    <xf numFmtId="1" fontId="13" fillId="25" borderId="32" xfId="0" applyNumberFormat="1" applyFont="1" applyFill="1" applyBorder="1" applyAlignment="1">
      <alignment horizontal="left" vertical="center" wrapText="1"/>
    </xf>
    <xf numFmtId="1" fontId="13" fillId="25" borderId="34" xfId="0" applyNumberFormat="1" applyFont="1" applyFill="1" applyBorder="1" applyAlignment="1">
      <alignment horizontal="left" vertical="center" wrapText="1"/>
    </xf>
    <xf numFmtId="0" fontId="16" fillId="0" borderId="150" xfId="0" applyFont="1" applyBorder="1" applyAlignment="1">
      <alignment horizontal="left" vertical="center" wrapText="1"/>
    </xf>
    <xf numFmtId="0" fontId="16" fillId="0" borderId="138" xfId="0" applyFont="1" applyBorder="1" applyAlignment="1">
      <alignment horizontal="left" vertical="center" wrapText="1"/>
    </xf>
    <xf numFmtId="166" fontId="13" fillId="25" borderId="70" xfId="0" applyNumberFormat="1" applyFont="1" applyFill="1" applyBorder="1" applyAlignment="1">
      <alignment horizontal="center" vertical="center"/>
    </xf>
    <xf numFmtId="166" fontId="13" fillId="25" borderId="49" xfId="0" applyNumberFormat="1" applyFont="1" applyFill="1" applyBorder="1" applyAlignment="1">
      <alignment horizontal="center" vertical="center"/>
    </xf>
    <xf numFmtId="1" fontId="13" fillId="25" borderId="159" xfId="0" applyNumberFormat="1" applyFont="1" applyFill="1" applyBorder="1" applyAlignment="1">
      <alignment horizontal="left" vertical="center" wrapText="1"/>
    </xf>
    <xf numFmtId="1" fontId="13" fillId="25" borderId="49" xfId="0" applyNumberFormat="1" applyFont="1" applyFill="1" applyBorder="1" applyAlignment="1">
      <alignment horizontal="left" vertical="center" wrapText="1"/>
    </xf>
    <xf numFmtId="166" fontId="15" fillId="0" borderId="9" xfId="0" applyNumberFormat="1" applyFont="1" applyBorder="1" applyAlignment="1">
      <alignment horizontal="center" vertical="top"/>
    </xf>
    <xf numFmtId="1" fontId="13" fillId="25" borderId="59" xfId="0" applyNumberFormat="1" applyFont="1" applyFill="1" applyBorder="1" applyAlignment="1">
      <alignment horizontal="left" vertical="center" wrapText="1"/>
    </xf>
    <xf numFmtId="1" fontId="13" fillId="25" borderId="70" xfId="0" applyNumberFormat="1" applyFont="1" applyFill="1" applyBorder="1" applyAlignment="1">
      <alignment horizontal="left" vertical="center" wrapText="1"/>
    </xf>
    <xf numFmtId="49" fontId="28" fillId="0" borderId="122" xfId="0" quotePrefix="1" applyNumberFormat="1" applyFont="1" applyBorder="1" applyAlignment="1">
      <alignment horizontal="center" vertical="center" wrapText="1"/>
    </xf>
    <xf numFmtId="49" fontId="13" fillId="0" borderId="0" xfId="0" quotePrefix="1" applyNumberFormat="1" applyFont="1" applyAlignment="1">
      <alignment horizontal="center" vertical="center" wrapText="1"/>
    </xf>
    <xf numFmtId="0" fontId="13" fillId="0" borderId="139" xfId="0" quotePrefix="1" applyFont="1" applyBorder="1" applyAlignment="1">
      <alignment horizontal="left" vertical="center" wrapText="1"/>
    </xf>
    <xf numFmtId="0" fontId="13" fillId="0" borderId="121" xfId="0" quotePrefix="1" applyFont="1" applyBorder="1" applyAlignment="1">
      <alignment horizontal="left" vertical="center" wrapText="1"/>
    </xf>
    <xf numFmtId="49" fontId="18" fillId="30" borderId="70" xfId="0" applyNumberFormat="1" applyFont="1" applyFill="1" applyBorder="1" applyAlignment="1">
      <alignment horizontal="center" vertical="top"/>
    </xf>
    <xf numFmtId="49" fontId="18" fillId="30" borderId="59" xfId="0" applyNumberFormat="1" applyFont="1" applyFill="1" applyBorder="1" applyAlignment="1">
      <alignment horizontal="center" vertical="top"/>
    </xf>
    <xf numFmtId="49" fontId="18" fillId="29" borderId="70" xfId="0" applyNumberFormat="1" applyFont="1" applyFill="1" applyBorder="1" applyAlignment="1">
      <alignment horizontal="center" vertical="top"/>
    </xf>
    <xf numFmtId="49" fontId="18" fillId="29" borderId="59" xfId="0" applyNumberFormat="1" applyFont="1" applyFill="1" applyBorder="1" applyAlignment="1">
      <alignment horizontal="center" vertical="top"/>
    </xf>
    <xf numFmtId="49" fontId="18" fillId="0" borderId="70" xfId="0" applyNumberFormat="1" applyFont="1" applyBorder="1" applyAlignment="1">
      <alignment horizontal="center" vertical="top" wrapText="1"/>
    </xf>
    <xf numFmtId="49" fontId="18" fillId="0" borderId="59" xfId="0" applyNumberFormat="1" applyFont="1" applyBorder="1" applyAlignment="1">
      <alignment horizontal="center" vertical="top" wrapText="1"/>
    </xf>
    <xf numFmtId="166" fontId="14" fillId="25" borderId="70" xfId="0" applyNumberFormat="1" applyFont="1" applyFill="1" applyBorder="1" applyAlignment="1">
      <alignment horizontal="left" vertical="top" wrapText="1"/>
    </xf>
    <xf numFmtId="166" fontId="14" fillId="25" borderId="59" xfId="0" applyNumberFormat="1" applyFont="1" applyFill="1" applyBorder="1" applyAlignment="1">
      <alignment horizontal="left" vertical="top" wrapText="1"/>
    </xf>
    <xf numFmtId="166" fontId="13" fillId="0" borderId="32" xfId="0" applyNumberFormat="1" applyFont="1" applyBorder="1" applyAlignment="1">
      <alignment horizontal="center" vertical="center" wrapText="1"/>
    </xf>
    <xf numFmtId="166" fontId="13" fillId="0" borderId="33" xfId="0" applyNumberFormat="1" applyFont="1" applyBorder="1" applyAlignment="1">
      <alignment horizontal="center" vertical="center" wrapText="1"/>
    </xf>
    <xf numFmtId="1" fontId="13" fillId="0" borderId="325" xfId="0" applyNumberFormat="1" applyFont="1" applyBorder="1" applyAlignment="1">
      <alignment horizontal="left" vertical="center" wrapText="1"/>
    </xf>
    <xf numFmtId="1" fontId="13" fillId="0" borderId="357" xfId="0" applyNumberFormat="1" applyFont="1" applyBorder="1" applyAlignment="1">
      <alignment horizontal="left" vertical="center" wrapText="1"/>
    </xf>
    <xf numFmtId="1" fontId="13" fillId="0" borderId="91" xfId="0" applyNumberFormat="1" applyFont="1" applyBorder="1" applyAlignment="1">
      <alignment horizontal="left" vertical="center" wrapText="1"/>
    </xf>
    <xf numFmtId="49" fontId="15" fillId="0" borderId="9" xfId="0" applyNumberFormat="1" applyFont="1" applyBorder="1" applyAlignment="1">
      <alignment horizontal="center" vertical="top"/>
    </xf>
    <xf numFmtId="49" fontId="15" fillId="0" borderId="11" xfId="0" applyNumberFormat="1" applyFont="1" applyBorder="1" applyAlignment="1">
      <alignment horizontal="center" vertical="top"/>
    </xf>
    <xf numFmtId="166" fontId="13" fillId="0" borderId="8" xfId="0" applyNumberFormat="1" applyFont="1" applyBorder="1" applyAlignment="1">
      <alignment horizontal="left" vertical="top" wrapText="1"/>
    </xf>
    <xf numFmtId="1" fontId="13" fillId="0" borderId="384" xfId="0" applyNumberFormat="1" applyFont="1" applyBorder="1" applyAlignment="1">
      <alignment horizontal="left" vertical="center" wrapText="1"/>
    </xf>
    <xf numFmtId="1" fontId="13" fillId="0" borderId="241" xfId="0" applyNumberFormat="1" applyFont="1" applyBorder="1" applyAlignment="1">
      <alignment horizontal="left" vertical="center" wrapText="1"/>
    </xf>
    <xf numFmtId="1" fontId="13" fillId="0" borderId="200" xfId="0" applyNumberFormat="1" applyFont="1" applyBorder="1" applyAlignment="1">
      <alignment horizontal="left" vertical="center" wrapText="1"/>
    </xf>
    <xf numFmtId="1" fontId="13" fillId="0" borderId="131" xfId="0" applyNumberFormat="1" applyFont="1" applyBorder="1" applyAlignment="1">
      <alignment horizontal="left" vertical="center" wrapText="1"/>
    </xf>
    <xf numFmtId="49" fontId="15" fillId="30" borderId="70" xfId="0" applyNumberFormat="1" applyFont="1" applyFill="1" applyBorder="1" applyAlignment="1">
      <alignment horizontal="center" vertical="top"/>
    </xf>
    <xf numFmtId="49" fontId="15" fillId="30" borderId="59" xfId="0" applyNumberFormat="1" applyFont="1" applyFill="1" applyBorder="1" applyAlignment="1">
      <alignment horizontal="center" vertical="top"/>
    </xf>
    <xf numFmtId="49" fontId="15" fillId="30" borderId="49" xfId="0" applyNumberFormat="1" applyFont="1" applyFill="1" applyBorder="1" applyAlignment="1">
      <alignment horizontal="center" vertical="top"/>
    </xf>
    <xf numFmtId="49" fontId="18" fillId="0" borderId="49" xfId="0" applyNumberFormat="1" applyFont="1" applyBorder="1" applyAlignment="1">
      <alignment horizontal="center" vertical="top" wrapText="1"/>
    </xf>
    <xf numFmtId="1" fontId="13" fillId="0" borderId="70" xfId="0" applyNumberFormat="1" applyFont="1" applyBorder="1" applyAlignment="1">
      <alignment horizontal="left" vertical="center" wrapText="1"/>
    </xf>
    <xf numFmtId="1" fontId="13" fillId="0" borderId="49" xfId="0" applyNumberFormat="1" applyFont="1" applyBorder="1" applyAlignment="1">
      <alignment horizontal="left" vertical="center" wrapText="1"/>
    </xf>
    <xf numFmtId="0" fontId="13" fillId="0" borderId="70" xfId="0" quotePrefix="1" applyFont="1" applyBorder="1" applyAlignment="1">
      <alignment horizontal="left" vertical="center" wrapText="1"/>
    </xf>
    <xf numFmtId="0" fontId="13" fillId="0" borderId="49" xfId="0" quotePrefix="1" applyFont="1" applyBorder="1" applyAlignment="1">
      <alignment horizontal="left" vertical="center" wrapText="1"/>
    </xf>
    <xf numFmtId="1" fontId="13" fillId="0" borderId="70" xfId="0" quotePrefix="1" applyNumberFormat="1" applyFont="1" applyBorder="1" applyAlignment="1">
      <alignment horizontal="center" vertical="center" wrapText="1"/>
    </xf>
    <xf numFmtId="1" fontId="13" fillId="0" borderId="59" xfId="0" quotePrefix="1" applyNumberFormat="1" applyFont="1" applyBorder="1" applyAlignment="1">
      <alignment horizontal="center" vertical="center" wrapText="1"/>
    </xf>
    <xf numFmtId="1" fontId="13" fillId="0" borderId="49" xfId="0" quotePrefix="1" applyNumberFormat="1" applyFont="1" applyBorder="1" applyAlignment="1">
      <alignment horizontal="center" vertical="center" wrapText="1"/>
    </xf>
    <xf numFmtId="49" fontId="15" fillId="0" borderId="70" xfId="0" applyNumberFormat="1" applyFont="1" applyBorder="1" applyAlignment="1">
      <alignment horizontal="center" vertical="top"/>
    </xf>
    <xf numFmtId="49" fontId="15" fillId="0" borderId="59" xfId="0" applyNumberFormat="1" applyFont="1" applyBorder="1" applyAlignment="1">
      <alignment horizontal="center" vertical="top"/>
    </xf>
    <xf numFmtId="49" fontId="15" fillId="0" borderId="49" xfId="0" applyNumberFormat="1" applyFont="1" applyBorder="1" applyAlignment="1">
      <alignment horizontal="center" vertical="top"/>
    </xf>
    <xf numFmtId="166" fontId="13" fillId="0" borderId="70" xfId="0" applyNumberFormat="1" applyFont="1" applyBorder="1" applyAlignment="1">
      <alignment horizontal="left" vertical="top" wrapText="1"/>
    </xf>
    <xf numFmtId="166" fontId="13" fillId="0" borderId="59" xfId="0" applyNumberFormat="1" applyFont="1" applyBorder="1" applyAlignment="1">
      <alignment horizontal="left" vertical="top" wrapText="1"/>
    </xf>
    <xf numFmtId="166" fontId="13" fillId="0" borderId="49" xfId="0" applyNumberFormat="1" applyFont="1" applyBorder="1" applyAlignment="1">
      <alignment horizontal="left" vertical="top" wrapText="1"/>
    </xf>
    <xf numFmtId="166" fontId="13" fillId="25" borderId="59" xfId="0" applyNumberFormat="1" applyFont="1" applyFill="1" applyBorder="1" applyAlignment="1">
      <alignment horizontal="center" vertical="center"/>
    </xf>
    <xf numFmtId="0" fontId="18" fillId="27" borderId="93" xfId="0" applyFont="1" applyFill="1" applyBorder="1" applyAlignment="1">
      <alignment horizontal="right" vertical="top" wrapText="1"/>
    </xf>
    <xf numFmtId="0" fontId="18" fillId="27" borderId="72" xfId="0" applyFont="1" applyFill="1" applyBorder="1" applyAlignment="1">
      <alignment horizontal="right" vertical="top" wrapText="1"/>
    </xf>
    <xf numFmtId="0" fontId="18" fillId="27" borderId="115" xfId="0" applyFont="1" applyFill="1" applyBorder="1" applyAlignment="1">
      <alignment horizontal="right" vertical="top" wrapText="1"/>
    </xf>
    <xf numFmtId="0" fontId="13" fillId="24" borderId="31" xfId="0" applyFont="1" applyFill="1" applyBorder="1" applyAlignment="1">
      <alignment horizontal="left" vertical="top" wrapText="1"/>
    </xf>
    <xf numFmtId="0" fontId="13" fillId="24" borderId="62" xfId="0" applyFont="1" applyFill="1" applyBorder="1" applyAlignment="1">
      <alignment horizontal="left" vertical="top" wrapText="1"/>
    </xf>
    <xf numFmtId="0" fontId="13" fillId="24" borderId="46" xfId="0" applyFont="1" applyFill="1" applyBorder="1" applyAlignment="1">
      <alignment horizontal="left" vertical="top" wrapText="1"/>
    </xf>
    <xf numFmtId="0" fontId="18" fillId="31" borderId="76" xfId="0" applyFont="1" applyFill="1" applyBorder="1" applyAlignment="1">
      <alignment horizontal="right" vertical="top" wrapText="1"/>
    </xf>
    <xf numFmtId="0" fontId="18" fillId="31" borderId="77" xfId="0" applyFont="1" applyFill="1" applyBorder="1" applyAlignment="1">
      <alignment horizontal="right" vertical="top" wrapText="1"/>
    </xf>
    <xf numFmtId="0" fontId="18" fillId="31" borderId="65" xfId="0" applyFont="1" applyFill="1" applyBorder="1" applyAlignment="1">
      <alignment horizontal="right" vertical="top" wrapText="1"/>
    </xf>
    <xf numFmtId="0" fontId="13" fillId="0" borderId="377" xfId="0" applyFont="1" applyBorder="1" applyAlignment="1">
      <alignment horizontal="left" vertical="top" wrapText="1"/>
    </xf>
    <xf numFmtId="0" fontId="13" fillId="0" borderId="385" xfId="0" applyFont="1" applyBorder="1" applyAlignment="1">
      <alignment horizontal="left" vertical="top" wrapText="1"/>
    </xf>
    <xf numFmtId="0" fontId="13" fillId="0" borderId="386" xfId="0" applyFont="1" applyBorder="1" applyAlignment="1">
      <alignment horizontal="left" vertical="top" wrapText="1"/>
    </xf>
    <xf numFmtId="49" fontId="18" fillId="30" borderId="64" xfId="0" applyNumberFormat="1" applyFont="1" applyFill="1" applyBorder="1" applyAlignment="1">
      <alignment horizontal="left" vertical="top" wrapText="1"/>
    </xf>
    <xf numFmtId="49" fontId="18" fillId="30" borderId="77" xfId="0" applyNumberFormat="1" applyFont="1" applyFill="1" applyBorder="1" applyAlignment="1">
      <alignment horizontal="left" vertical="top" wrapText="1"/>
    </xf>
    <xf numFmtId="49" fontId="18" fillId="30" borderId="65" xfId="0" applyNumberFormat="1" applyFont="1" applyFill="1" applyBorder="1" applyAlignment="1">
      <alignment horizontal="left" vertical="top" wrapText="1"/>
    </xf>
    <xf numFmtId="49" fontId="18" fillId="29" borderId="76" xfId="0" applyNumberFormat="1" applyFont="1" applyFill="1" applyBorder="1" applyAlignment="1">
      <alignment horizontal="left" vertical="top"/>
    </xf>
    <xf numFmtId="49" fontId="18" fillId="29" borderId="77" xfId="0" applyNumberFormat="1" applyFont="1" applyFill="1" applyBorder="1" applyAlignment="1">
      <alignment horizontal="left" vertical="top"/>
    </xf>
    <xf numFmtId="49" fontId="18" fillId="29" borderId="63" xfId="0" applyNumberFormat="1" applyFont="1" applyFill="1" applyBorder="1" applyAlignment="1">
      <alignment horizontal="left" vertical="top"/>
    </xf>
    <xf numFmtId="49" fontId="18" fillId="29" borderId="105" xfId="0" applyNumberFormat="1" applyFont="1" applyFill="1" applyBorder="1" applyAlignment="1">
      <alignment horizontal="left" vertical="top"/>
    </xf>
    <xf numFmtId="0" fontId="18" fillId="38" borderId="50" xfId="0" applyFont="1" applyFill="1" applyBorder="1" applyAlignment="1">
      <alignment horizontal="left" vertical="top" wrapText="1"/>
    </xf>
    <xf numFmtId="0" fontId="18" fillId="38" borderId="45" xfId="0" applyFont="1" applyFill="1" applyBorder="1" applyAlignment="1">
      <alignment horizontal="left" vertical="top" wrapText="1"/>
    </xf>
    <xf numFmtId="166" fontId="13" fillId="25" borderId="70" xfId="0" applyNumberFormat="1" applyFont="1" applyFill="1" applyBorder="1" applyAlignment="1">
      <alignment horizontal="left" vertical="top" wrapText="1"/>
    </xf>
    <xf numFmtId="166" fontId="13" fillId="25" borderId="49" xfId="0" applyNumberFormat="1" applyFont="1" applyFill="1" applyBorder="1" applyAlignment="1">
      <alignment horizontal="left" vertical="top" wrapText="1"/>
    </xf>
    <xf numFmtId="0" fontId="18" fillId="28" borderId="76" xfId="0" applyFont="1" applyFill="1" applyBorder="1" applyAlignment="1">
      <alignment horizontal="center" vertical="top" wrapText="1"/>
    </xf>
    <xf numFmtId="0" fontId="18" fillId="28" borderId="77" xfId="0" applyFont="1" applyFill="1" applyBorder="1" applyAlignment="1">
      <alignment horizontal="center" vertical="top" wrapText="1"/>
    </xf>
    <xf numFmtId="0" fontId="13" fillId="0" borderId="40" xfId="0" applyFont="1" applyBorder="1" applyAlignment="1">
      <alignment horizontal="left" vertical="top" wrapText="1"/>
    </xf>
    <xf numFmtId="0" fontId="13" fillId="0" borderId="25" xfId="0" applyFont="1" applyBorder="1" applyAlignment="1">
      <alignment horizontal="left" vertical="top" wrapText="1"/>
    </xf>
    <xf numFmtId="0" fontId="13" fillId="0" borderId="100" xfId="0" applyFont="1" applyBorder="1" applyAlignment="1">
      <alignment horizontal="left" vertical="top" wrapText="1"/>
    </xf>
    <xf numFmtId="49" fontId="18" fillId="31" borderId="72" xfId="0" applyNumberFormat="1" applyFont="1" applyFill="1" applyBorder="1" applyAlignment="1">
      <alignment horizontal="right" vertical="top"/>
    </xf>
    <xf numFmtId="0" fontId="13" fillId="0" borderId="32" xfId="0" quotePrefix="1" applyFont="1" applyBorder="1" applyAlignment="1">
      <alignment horizontal="center" vertical="center" wrapText="1"/>
    </xf>
    <xf numFmtId="49" fontId="15" fillId="29" borderId="70" xfId="0" applyNumberFormat="1" applyFont="1" applyFill="1" applyBorder="1" applyAlignment="1">
      <alignment horizontal="center" vertical="top"/>
    </xf>
    <xf numFmtId="49" fontId="15" fillId="29" borderId="59" xfId="0" applyNumberFormat="1" applyFont="1" applyFill="1" applyBorder="1" applyAlignment="1">
      <alignment horizontal="center" vertical="top"/>
    </xf>
    <xf numFmtId="49" fontId="15" fillId="29" borderId="49" xfId="0" applyNumberFormat="1" applyFont="1" applyFill="1" applyBorder="1" applyAlignment="1">
      <alignment horizontal="center" vertical="top"/>
    </xf>
    <xf numFmtId="0" fontId="18" fillId="27" borderId="33" xfId="0" applyFont="1" applyFill="1" applyBorder="1" applyAlignment="1">
      <alignment horizontal="left" vertical="top" wrapText="1"/>
    </xf>
    <xf numFmtId="0" fontId="18" fillId="27" borderId="0" xfId="0" applyFont="1" applyFill="1" applyAlignment="1">
      <alignment horizontal="left" vertical="top" wrapText="1"/>
    </xf>
    <xf numFmtId="49" fontId="18" fillId="0" borderId="0" xfId="0" applyNumberFormat="1" applyFont="1" applyAlignment="1">
      <alignment horizontal="center" vertical="top"/>
    </xf>
    <xf numFmtId="49" fontId="18" fillId="29" borderId="49" xfId="0" applyNumberFormat="1" applyFont="1" applyFill="1" applyBorder="1" applyAlignment="1">
      <alignment horizontal="center" vertical="top"/>
    </xf>
    <xf numFmtId="1" fontId="13" fillId="0" borderId="34" xfId="0" quotePrefix="1" applyNumberFormat="1" applyFont="1" applyBorder="1" applyAlignment="1">
      <alignment horizontal="center" vertical="center" wrapText="1"/>
    </xf>
    <xf numFmtId="49" fontId="14" fillId="0" borderId="70" xfId="0" quotePrefix="1" applyNumberFormat="1" applyFont="1" applyBorder="1" applyAlignment="1">
      <alignment horizontal="center" vertical="center"/>
    </xf>
    <xf numFmtId="49" fontId="14" fillId="0" borderId="33" xfId="0" quotePrefix="1" applyNumberFormat="1" applyFont="1" applyBorder="1" applyAlignment="1">
      <alignment horizontal="center" vertical="center"/>
    </xf>
    <xf numFmtId="49" fontId="13" fillId="0" borderId="34" xfId="0" applyNumberFormat="1" applyFont="1" applyBorder="1" applyAlignment="1">
      <alignment horizontal="center" vertical="center"/>
    </xf>
    <xf numFmtId="0" fontId="13" fillId="0" borderId="63" xfId="0" quotePrefix="1" applyFont="1" applyBorder="1" applyAlignment="1">
      <alignment horizontal="center" vertical="center" wrapText="1"/>
    </xf>
    <xf numFmtId="0" fontId="13" fillId="0" borderId="0" xfId="0" quotePrefix="1" applyFont="1" applyAlignment="1">
      <alignment horizontal="center" vertical="center" wrapText="1"/>
    </xf>
    <xf numFmtId="166" fontId="13" fillId="25" borderId="17" xfId="0" applyNumberFormat="1" applyFont="1" applyFill="1" applyBorder="1" applyAlignment="1">
      <alignment horizontal="left" vertical="top" wrapText="1"/>
    </xf>
    <xf numFmtId="166" fontId="13" fillId="25" borderId="0" xfId="0" applyNumberFormat="1" applyFont="1" applyFill="1" applyAlignment="1">
      <alignment horizontal="left" vertical="top" wrapText="1"/>
    </xf>
    <xf numFmtId="1" fontId="13" fillId="0" borderId="59" xfId="0" applyNumberFormat="1" applyFont="1" applyBorder="1" applyAlignment="1">
      <alignment horizontal="left" vertical="center" wrapText="1"/>
    </xf>
    <xf numFmtId="0" fontId="13" fillId="0" borderId="59" xfId="0" quotePrefix="1" applyFont="1" applyBorder="1" applyAlignment="1">
      <alignment horizontal="left" vertical="center" wrapText="1"/>
    </xf>
    <xf numFmtId="0" fontId="13" fillId="0" borderId="105" xfId="0" applyFont="1" applyBorder="1" applyAlignment="1">
      <alignment horizontal="center" vertical="center"/>
    </xf>
    <xf numFmtId="49" fontId="20" fillId="0" borderId="132" xfId="0" applyNumberFormat="1" applyFont="1" applyBorder="1" applyAlignment="1">
      <alignment horizontal="left" vertical="center" wrapText="1"/>
    </xf>
    <xf numFmtId="49" fontId="20" fillId="0" borderId="121" xfId="0" applyNumberFormat="1" applyFont="1" applyBorder="1" applyAlignment="1">
      <alignment horizontal="left" vertical="center" wrapText="1"/>
    </xf>
    <xf numFmtId="0" fontId="13" fillId="0" borderId="33" xfId="0" quotePrefix="1" applyFont="1" applyBorder="1" applyAlignment="1">
      <alignment horizontal="center" vertical="center" wrapText="1"/>
    </xf>
    <xf numFmtId="166" fontId="13" fillId="25" borderId="59" xfId="0" applyNumberFormat="1" applyFont="1" applyFill="1" applyBorder="1" applyAlignment="1">
      <alignment horizontal="left" vertical="top" wrapText="1"/>
    </xf>
    <xf numFmtId="166" fontId="13" fillId="25" borderId="5" xfId="0" applyNumberFormat="1" applyFont="1" applyFill="1" applyBorder="1" applyAlignment="1">
      <alignment horizontal="left" vertical="top" wrapText="1"/>
    </xf>
    <xf numFmtId="0" fontId="13" fillId="0" borderId="132" xfId="0" quotePrefix="1" applyFont="1" applyBorder="1" applyAlignment="1">
      <alignment horizontal="left" vertical="center" wrapText="1"/>
    </xf>
    <xf numFmtId="0" fontId="13" fillId="0" borderId="126" xfId="0" quotePrefix="1" applyFont="1" applyBorder="1" applyAlignment="1">
      <alignment horizontal="left" vertical="center" wrapText="1"/>
    </xf>
    <xf numFmtId="166" fontId="13" fillId="25" borderId="136" xfId="0" applyNumberFormat="1" applyFont="1" applyFill="1" applyBorder="1" applyAlignment="1">
      <alignment horizontal="left" vertical="top" wrapText="1"/>
    </xf>
    <xf numFmtId="166" fontId="13" fillId="25" borderId="137" xfId="0" applyNumberFormat="1" applyFont="1" applyFill="1" applyBorder="1" applyAlignment="1">
      <alignment horizontal="left" vertical="top" wrapText="1"/>
    </xf>
    <xf numFmtId="166" fontId="13" fillId="25" borderId="138" xfId="0" applyNumberFormat="1" applyFont="1" applyFill="1" applyBorder="1" applyAlignment="1">
      <alignment horizontal="left" vertical="top" wrapText="1"/>
    </xf>
    <xf numFmtId="166" fontId="13" fillId="0" borderId="59" xfId="0" applyNumberFormat="1" applyFont="1" applyBorder="1" applyAlignment="1">
      <alignment horizontal="center" vertical="center" wrapText="1"/>
    </xf>
    <xf numFmtId="49" fontId="18" fillId="29" borderId="16" xfId="0" applyNumberFormat="1" applyFont="1" applyFill="1" applyBorder="1" applyAlignment="1">
      <alignment horizontal="center" vertical="top"/>
    </xf>
    <xf numFmtId="49" fontId="18" fillId="0" borderId="13" xfId="0" quotePrefix="1" applyNumberFormat="1" applyFont="1" applyBorder="1" applyAlignment="1">
      <alignment horizontal="center" vertical="top" wrapText="1"/>
    </xf>
    <xf numFmtId="49" fontId="18" fillId="0" borderId="13" xfId="0" applyNumberFormat="1" applyFont="1" applyBorder="1" applyAlignment="1">
      <alignment horizontal="center" vertical="top" wrapText="1"/>
    </xf>
    <xf numFmtId="49" fontId="15" fillId="29" borderId="16" xfId="0" applyNumberFormat="1" applyFont="1" applyFill="1" applyBorder="1" applyAlignment="1">
      <alignment horizontal="center" vertical="top"/>
    </xf>
    <xf numFmtId="1" fontId="14" fillId="25" borderId="70" xfId="0" applyNumberFormat="1" applyFont="1" applyFill="1" applyBorder="1" applyAlignment="1">
      <alignment horizontal="left" vertical="center" wrapText="1"/>
    </xf>
    <xf numFmtId="49" fontId="18" fillId="30" borderId="74" xfId="0" applyNumberFormat="1" applyFont="1" applyFill="1" applyBorder="1" applyAlignment="1">
      <alignment horizontal="center" vertical="top"/>
    </xf>
    <xf numFmtId="49" fontId="15" fillId="30" borderId="74" xfId="0" applyNumberFormat="1" applyFont="1" applyFill="1" applyBorder="1" applyAlignment="1">
      <alignment horizontal="center" vertical="top"/>
    </xf>
    <xf numFmtId="49" fontId="18" fillId="30" borderId="51" xfId="0" applyNumberFormat="1" applyFont="1" applyFill="1" applyBorder="1" applyAlignment="1">
      <alignment horizontal="center" vertical="top"/>
    </xf>
    <xf numFmtId="49" fontId="18" fillId="30" borderId="67" xfId="0" applyNumberFormat="1" applyFont="1" applyFill="1" applyBorder="1" applyAlignment="1">
      <alignment horizontal="center" vertical="top"/>
    </xf>
    <xf numFmtId="49" fontId="18" fillId="29" borderId="8" xfId="0" applyNumberFormat="1" applyFont="1" applyFill="1" applyBorder="1" applyAlignment="1">
      <alignment horizontal="center" vertical="top"/>
    </xf>
    <xf numFmtId="49" fontId="18" fillId="29" borderId="12" xfId="0" applyNumberFormat="1" applyFont="1" applyFill="1" applyBorder="1" applyAlignment="1">
      <alignment horizontal="center" vertical="top"/>
    </xf>
    <xf numFmtId="49" fontId="18" fillId="30" borderId="74" xfId="0" quotePrefix="1" applyNumberFormat="1" applyFont="1" applyFill="1" applyBorder="1" applyAlignment="1">
      <alignment horizontal="center" vertical="top"/>
    </xf>
    <xf numFmtId="49" fontId="18" fillId="29" borderId="16" xfId="0" quotePrefix="1" applyNumberFormat="1" applyFont="1" applyFill="1" applyBorder="1" applyAlignment="1">
      <alignment horizontal="center" vertical="top"/>
    </xf>
    <xf numFmtId="49" fontId="18" fillId="0" borderId="11" xfId="0" applyNumberFormat="1" applyFont="1" applyBorder="1" applyAlignment="1">
      <alignment horizontal="center" vertical="top" wrapText="1"/>
    </xf>
    <xf numFmtId="49" fontId="15" fillId="0" borderId="13" xfId="0" quotePrefix="1" applyNumberFormat="1" applyFont="1" applyBorder="1" applyAlignment="1">
      <alignment horizontal="center" vertical="top" wrapText="1"/>
    </xf>
    <xf numFmtId="49" fontId="15" fillId="0" borderId="13" xfId="0" applyNumberFormat="1" applyFont="1" applyBorder="1" applyAlignment="1">
      <alignment horizontal="center" vertical="top" wrapText="1"/>
    </xf>
    <xf numFmtId="49" fontId="18" fillId="30" borderId="49" xfId="0" applyNumberFormat="1" applyFont="1" applyFill="1" applyBorder="1" applyAlignment="1">
      <alignment horizontal="center" vertical="top"/>
    </xf>
    <xf numFmtId="166" fontId="20" fillId="25" borderId="5" xfId="0" applyNumberFormat="1" applyFont="1" applyFill="1" applyBorder="1" applyAlignment="1">
      <alignment horizontal="left" vertical="top" wrapText="1"/>
    </xf>
    <xf numFmtId="0" fontId="16" fillId="0" borderId="139" xfId="0" applyFont="1" applyBorder="1" applyAlignment="1">
      <alignment vertical="center" wrapText="1"/>
    </xf>
    <xf numFmtId="0" fontId="16" fillId="0" borderId="126" xfId="0" applyFont="1" applyBorder="1" applyAlignment="1">
      <alignment vertical="center" wrapText="1"/>
    </xf>
    <xf numFmtId="0" fontId="16" fillId="0" borderId="70" xfId="0" applyFont="1" applyBorder="1" applyAlignment="1">
      <alignment vertical="center" wrapText="1"/>
    </xf>
    <xf numFmtId="0" fontId="16" fillId="0" borderId="49" xfId="0" applyFont="1" applyBorder="1" applyAlignment="1">
      <alignment vertical="center" wrapText="1"/>
    </xf>
    <xf numFmtId="0" fontId="14" fillId="0" borderId="279" xfId="0" applyFont="1" applyBorder="1" applyAlignment="1">
      <alignment horizontal="left" vertical="center" wrapText="1"/>
    </xf>
    <xf numFmtId="0" fontId="14" fillId="0" borderId="281" xfId="0" applyFont="1" applyBorder="1" applyAlignment="1">
      <alignment horizontal="left" vertical="center" wrapText="1"/>
    </xf>
    <xf numFmtId="0" fontId="14" fillId="0" borderId="280" xfId="0" applyFont="1" applyBorder="1" applyAlignment="1">
      <alignment horizontal="left" vertical="center" wrapText="1"/>
    </xf>
    <xf numFmtId="166" fontId="20" fillId="25" borderId="70" xfId="0" applyNumberFormat="1" applyFont="1" applyFill="1" applyBorder="1" applyAlignment="1">
      <alignment horizontal="center" vertical="center" wrapText="1"/>
    </xf>
    <xf numFmtId="166" fontId="20" fillId="25" borderId="49" xfId="0" applyNumberFormat="1" applyFont="1" applyFill="1" applyBorder="1" applyAlignment="1">
      <alignment horizontal="center" vertical="center" wrapText="1"/>
    </xf>
    <xf numFmtId="0" fontId="14" fillId="0" borderId="132" xfId="0" applyFont="1" applyBorder="1" applyAlignment="1">
      <alignment horizontal="left" vertical="center" wrapText="1"/>
    </xf>
    <xf numFmtId="0" fontId="14" fillId="25" borderId="139" xfId="0" applyFont="1" applyFill="1" applyBorder="1" applyAlignment="1">
      <alignment horizontal="left" vertical="center" wrapText="1"/>
    </xf>
    <xf numFmtId="0" fontId="14" fillId="25" borderId="181" xfId="0" applyFont="1" applyFill="1" applyBorder="1" applyAlignment="1">
      <alignment horizontal="left" vertical="center" wrapText="1"/>
    </xf>
    <xf numFmtId="49" fontId="15" fillId="0" borderId="13" xfId="0" applyNumberFormat="1" applyFont="1" applyBorder="1" applyAlignment="1">
      <alignment horizontal="center" vertical="top"/>
    </xf>
    <xf numFmtId="166" fontId="13" fillId="0" borderId="383" xfId="0" applyNumberFormat="1" applyFont="1" applyBorder="1" applyAlignment="1">
      <alignment horizontal="left" vertical="top" wrapText="1"/>
    </xf>
    <xf numFmtId="0" fontId="16" fillId="0" borderId="70" xfId="0" applyFont="1" applyBorder="1" applyAlignment="1">
      <alignment horizontal="left" vertical="center" wrapText="1"/>
    </xf>
    <xf numFmtId="0" fontId="16" fillId="0" borderId="59" xfId="0" applyFont="1" applyBorder="1" applyAlignment="1">
      <alignment horizontal="left" vertical="center" wrapText="1"/>
    </xf>
    <xf numFmtId="0" fontId="16" fillId="0" borderId="49" xfId="0" applyFont="1" applyBorder="1" applyAlignment="1">
      <alignment horizontal="left" vertical="center" wrapText="1"/>
    </xf>
    <xf numFmtId="0" fontId="16" fillId="0" borderId="126" xfId="0" applyFont="1" applyBorder="1" applyAlignment="1">
      <alignment horizontal="left" vertical="center" wrapText="1"/>
    </xf>
    <xf numFmtId="166" fontId="15" fillId="0" borderId="140" xfId="0" applyNumberFormat="1" applyFont="1" applyBorder="1" applyAlignment="1">
      <alignment horizontal="center" vertical="top"/>
    </xf>
    <xf numFmtId="166" fontId="15" fillId="0" borderId="126" xfId="0" applyNumberFormat="1" applyFont="1" applyBorder="1" applyAlignment="1">
      <alignment horizontal="center" vertical="top"/>
    </xf>
    <xf numFmtId="166" fontId="15" fillId="0" borderId="135" xfId="0" applyNumberFormat="1" applyFont="1" applyBorder="1" applyAlignment="1">
      <alignment horizontal="center" vertical="top"/>
    </xf>
    <xf numFmtId="166" fontId="14" fillId="0" borderId="209" xfId="0" applyNumberFormat="1" applyFont="1" applyBorder="1" applyAlignment="1">
      <alignment horizontal="left" vertical="top" wrapText="1"/>
    </xf>
    <xf numFmtId="166" fontId="14" fillId="0" borderId="236" xfId="0" applyNumberFormat="1" applyFont="1" applyBorder="1" applyAlignment="1">
      <alignment horizontal="left" vertical="top" wrapText="1"/>
    </xf>
    <xf numFmtId="166" fontId="13" fillId="0" borderId="153" xfId="0" applyNumberFormat="1" applyFont="1" applyBorder="1" applyAlignment="1">
      <alignment horizontal="left" vertical="top" wrapText="1"/>
    </xf>
    <xf numFmtId="49" fontId="13" fillId="25" borderId="136" xfId="0" quotePrefix="1" applyNumberFormat="1" applyFont="1" applyFill="1" applyBorder="1" applyAlignment="1">
      <alignment horizontal="center" vertical="center" wrapText="1"/>
    </xf>
    <xf numFmtId="49" fontId="13" fillId="25" borderId="137" xfId="0" applyNumberFormat="1" applyFont="1" applyFill="1" applyBorder="1" applyAlignment="1">
      <alignment horizontal="center" vertical="center" wrapText="1"/>
    </xf>
    <xf numFmtId="0" fontId="18" fillId="0" borderId="0" xfId="0" applyFont="1" applyAlignment="1">
      <alignment horizontal="center" vertical="top" wrapText="1"/>
    </xf>
    <xf numFmtId="2" fontId="13" fillId="25" borderId="381" xfId="0" applyNumberFormat="1" applyFont="1" applyFill="1" applyBorder="1" applyAlignment="1">
      <alignment horizontal="center" textRotation="90" wrapText="1"/>
    </xf>
    <xf numFmtId="2" fontId="13" fillId="25" borderId="55" xfId="0" applyNumberFormat="1" applyFont="1" applyFill="1" applyBorder="1" applyAlignment="1">
      <alignment horizontal="center" textRotation="90" wrapText="1"/>
    </xf>
    <xf numFmtId="1" fontId="13" fillId="25" borderId="132" xfId="0" applyNumberFormat="1" applyFont="1" applyFill="1" applyBorder="1" applyAlignment="1">
      <alignment horizontal="left" vertical="center" wrapText="1"/>
    </xf>
    <xf numFmtId="1" fontId="13" fillId="25" borderId="126" xfId="0" applyNumberFormat="1" applyFont="1" applyFill="1" applyBorder="1" applyAlignment="1">
      <alignment horizontal="left" vertical="center" wrapText="1"/>
    </xf>
    <xf numFmtId="1" fontId="13" fillId="25" borderId="121" xfId="0" applyNumberFormat="1" applyFont="1" applyFill="1" applyBorder="1" applyAlignment="1">
      <alignment horizontal="left" vertical="center" wrapText="1"/>
    </xf>
    <xf numFmtId="0" fontId="13" fillId="0" borderId="69" xfId="0" applyFont="1" applyBorder="1" applyAlignment="1">
      <alignment horizontal="center" textRotation="90" wrapText="1"/>
    </xf>
    <xf numFmtId="0" fontId="13" fillId="0" borderId="10" xfId="0" applyFont="1" applyBorder="1" applyAlignment="1">
      <alignment horizontal="center" textRotation="90" wrapText="1"/>
    </xf>
    <xf numFmtId="0" fontId="13" fillId="0" borderId="89" xfId="0" applyFont="1" applyBorder="1" applyAlignment="1">
      <alignment horizontal="center" textRotation="90" wrapText="1"/>
    </xf>
    <xf numFmtId="0" fontId="13" fillId="25" borderId="382" xfId="0" applyFont="1" applyFill="1" applyBorder="1" applyAlignment="1">
      <alignment horizontal="center" textRotation="90" wrapText="1"/>
    </xf>
    <xf numFmtId="0" fontId="13" fillId="25" borderId="89" xfId="0" applyFont="1" applyFill="1" applyBorder="1" applyAlignment="1">
      <alignment horizontal="center" textRotation="90" wrapText="1"/>
    </xf>
    <xf numFmtId="0" fontId="14" fillId="25" borderId="32" xfId="0" applyFont="1" applyFill="1" applyBorder="1" applyAlignment="1">
      <alignment horizontal="left" vertical="center" wrapText="1"/>
    </xf>
    <xf numFmtId="0" fontId="13" fillId="25" borderId="33" xfId="0" applyFont="1" applyFill="1" applyBorder="1" applyAlignment="1">
      <alignment horizontal="left" vertical="center" wrapText="1"/>
    </xf>
    <xf numFmtId="0" fontId="13" fillId="0" borderId="102" xfId="0" applyFont="1" applyBorder="1" applyAlignment="1">
      <alignment horizontal="center" textRotation="90" wrapText="1"/>
    </xf>
    <xf numFmtId="0" fontId="13" fillId="0" borderId="22" xfId="0" applyFont="1" applyBorder="1" applyAlignment="1">
      <alignment horizontal="center" textRotation="90" wrapText="1"/>
    </xf>
    <xf numFmtId="0" fontId="13" fillId="0" borderId="38" xfId="0" applyFont="1" applyBorder="1" applyAlignment="1">
      <alignment horizontal="center" textRotation="90" wrapText="1"/>
    </xf>
    <xf numFmtId="0" fontId="13" fillId="0" borderId="11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56" xfId="0" applyFont="1" applyBorder="1" applyAlignment="1">
      <alignment horizontal="center" vertical="center" wrapText="1"/>
    </xf>
    <xf numFmtId="166" fontId="15" fillId="0" borderId="132" xfId="0" applyNumberFormat="1" applyFont="1" applyBorder="1" applyAlignment="1">
      <alignment horizontal="center" vertical="top"/>
    </xf>
    <xf numFmtId="0" fontId="27" fillId="0" borderId="0" xfId="0" applyFont="1" applyAlignment="1">
      <alignment horizontal="center"/>
    </xf>
    <xf numFmtId="49" fontId="13" fillId="25" borderId="132" xfId="0" quotePrefix="1" applyNumberFormat="1" applyFont="1" applyFill="1" applyBorder="1" applyAlignment="1">
      <alignment horizontal="center" vertical="center" wrapText="1"/>
    </xf>
    <xf numFmtId="49" fontId="13" fillId="25" borderId="126" xfId="0" applyNumberFormat="1" applyFont="1" applyFill="1" applyBorder="1" applyAlignment="1">
      <alignment horizontal="center" vertical="center" wrapText="1"/>
    </xf>
    <xf numFmtId="49" fontId="13" fillId="25" borderId="121" xfId="0" applyNumberFormat="1" applyFont="1" applyFill="1" applyBorder="1" applyAlignment="1">
      <alignment horizontal="center" vertical="center" wrapText="1"/>
    </xf>
    <xf numFmtId="166" fontId="13" fillId="25" borderId="210" xfId="0" applyNumberFormat="1" applyFont="1" applyFill="1" applyBorder="1" applyAlignment="1">
      <alignment horizontal="center" vertical="center"/>
    </xf>
    <xf numFmtId="166" fontId="13" fillId="25" borderId="169" xfId="0" applyNumberFormat="1" applyFont="1" applyFill="1" applyBorder="1" applyAlignment="1">
      <alignment horizontal="center" vertical="center"/>
    </xf>
    <xf numFmtId="166" fontId="13" fillId="25" borderId="211" xfId="0" applyNumberFormat="1" applyFont="1" applyFill="1" applyBorder="1" applyAlignment="1">
      <alignment horizontal="center" vertical="center"/>
    </xf>
    <xf numFmtId="1" fontId="13" fillId="25" borderId="0" xfId="0" applyNumberFormat="1" applyFont="1" applyFill="1" applyAlignment="1">
      <alignment horizontal="left" vertical="center" wrapText="1"/>
    </xf>
    <xf numFmtId="1" fontId="13" fillId="25" borderId="156" xfId="0" applyNumberFormat="1" applyFont="1" applyFill="1" applyBorder="1" applyAlignment="1">
      <alignment horizontal="left" vertical="center" wrapText="1"/>
    </xf>
    <xf numFmtId="49" fontId="15" fillId="30" borderId="292" xfId="0" applyNumberFormat="1" applyFont="1" applyFill="1" applyBorder="1" applyAlignment="1">
      <alignment horizontal="center" vertical="top"/>
    </xf>
    <xf numFmtId="49" fontId="15" fillId="30" borderId="294" xfId="0" applyNumberFormat="1" applyFont="1" applyFill="1" applyBorder="1" applyAlignment="1">
      <alignment horizontal="center" vertical="top"/>
    </xf>
    <xf numFmtId="49" fontId="15" fillId="30" borderId="195" xfId="0" applyNumberFormat="1" applyFont="1" applyFill="1" applyBorder="1" applyAlignment="1">
      <alignment horizontal="center" vertical="top"/>
    </xf>
    <xf numFmtId="1" fontId="28" fillId="0" borderId="54" xfId="0" quotePrefix="1" applyNumberFormat="1" applyFont="1" applyBorder="1" applyAlignment="1">
      <alignment horizontal="center" vertical="center" wrapText="1"/>
    </xf>
    <xf numFmtId="1" fontId="13" fillId="0" borderId="64" xfId="0" quotePrefix="1" applyNumberFormat="1" applyFont="1" applyBorder="1" applyAlignment="1">
      <alignment horizontal="center" vertical="center" wrapText="1"/>
    </xf>
    <xf numFmtId="49" fontId="15" fillId="29" borderId="5" xfId="0" applyNumberFormat="1" applyFont="1" applyFill="1" applyBorder="1" applyAlignment="1">
      <alignment horizontal="center" vertical="top"/>
    </xf>
    <xf numFmtId="49" fontId="15" fillId="29" borderId="17" xfId="0" applyNumberFormat="1" applyFont="1" applyFill="1" applyBorder="1" applyAlignment="1">
      <alignment horizontal="center" vertical="top"/>
    </xf>
    <xf numFmtId="166" fontId="14" fillId="0" borderId="26" xfId="0" applyNumberFormat="1" applyFont="1" applyBorder="1" applyAlignment="1">
      <alignment horizontal="left" vertical="top" wrapText="1"/>
    </xf>
    <xf numFmtId="49" fontId="15" fillId="30" borderId="259" xfId="0" applyNumberFormat="1" applyFont="1" applyFill="1" applyBorder="1" applyAlignment="1">
      <alignment horizontal="center" vertical="top"/>
    </xf>
    <xf numFmtId="49" fontId="15" fillId="30" borderId="295" xfId="0" applyNumberFormat="1" applyFont="1" applyFill="1" applyBorder="1" applyAlignment="1">
      <alignment horizontal="center" vertical="top"/>
    </xf>
    <xf numFmtId="0" fontId="14" fillId="25" borderId="70" xfId="0" applyFont="1" applyFill="1" applyBorder="1" applyAlignment="1">
      <alignment horizontal="left" vertical="center" wrapText="1"/>
    </xf>
    <xf numFmtId="166" fontId="13" fillId="25" borderId="180" xfId="0" applyNumberFormat="1" applyFont="1" applyFill="1" applyBorder="1" applyAlignment="1">
      <alignment horizontal="center" vertical="center"/>
    </xf>
    <xf numFmtId="166" fontId="13" fillId="25" borderId="155" xfId="0" applyNumberFormat="1" applyFont="1" applyFill="1" applyBorder="1" applyAlignment="1">
      <alignment horizontal="center" vertical="center"/>
    </xf>
    <xf numFmtId="49" fontId="28" fillId="0" borderId="137" xfId="0" quotePrefix="1" applyNumberFormat="1" applyFont="1" applyBorder="1" applyAlignment="1">
      <alignment horizontal="center" vertical="center" wrapText="1"/>
    </xf>
    <xf numFmtId="49" fontId="13" fillId="0" borderId="137" xfId="0" quotePrefix="1" applyNumberFormat="1" applyFont="1" applyBorder="1" applyAlignment="1">
      <alignment horizontal="center" vertical="center" wrapText="1"/>
    </xf>
    <xf numFmtId="166" fontId="13" fillId="25" borderId="137" xfId="0" applyNumberFormat="1" applyFont="1" applyFill="1" applyBorder="1" applyAlignment="1">
      <alignment horizontal="center" vertical="center"/>
    </xf>
    <xf numFmtId="166" fontId="13" fillId="25" borderId="121" xfId="0" applyNumberFormat="1" applyFont="1" applyFill="1" applyBorder="1" applyAlignment="1">
      <alignment horizontal="center" vertical="center"/>
    </xf>
    <xf numFmtId="166" fontId="29" fillId="25" borderId="0" xfId="0" applyNumberFormat="1" applyFont="1" applyFill="1" applyAlignment="1">
      <alignment horizontal="center" vertical="center"/>
    </xf>
    <xf numFmtId="0" fontId="16" fillId="0" borderId="139" xfId="0" applyFont="1" applyBorder="1" applyAlignment="1">
      <alignment horizontal="left" vertical="center" wrapText="1"/>
    </xf>
    <xf numFmtId="0" fontId="16" fillId="0" borderId="192" xfId="0" applyFont="1" applyBorder="1" applyAlignment="1">
      <alignment horizontal="left" vertical="center" wrapText="1"/>
    </xf>
    <xf numFmtId="49" fontId="15" fillId="0" borderId="142" xfId="0" applyNumberFormat="1" applyFont="1" applyBorder="1" applyAlignment="1">
      <alignment horizontal="center" vertical="top"/>
    </xf>
    <xf numFmtId="49" fontId="15" fillId="0" borderId="143" xfId="0" applyNumberFormat="1" applyFont="1" applyBorder="1" applyAlignment="1">
      <alignment horizontal="center" vertical="top"/>
    </xf>
    <xf numFmtId="49" fontId="15" fillId="0" borderId="150" xfId="0" applyNumberFormat="1" applyFont="1" applyBorder="1" applyAlignment="1">
      <alignment horizontal="center" vertical="top"/>
    </xf>
    <xf numFmtId="49" fontId="15" fillId="29" borderId="142" xfId="0" applyNumberFormat="1" applyFont="1" applyFill="1" applyBorder="1" applyAlignment="1">
      <alignment horizontal="center" vertical="top"/>
    </xf>
    <xf numFmtId="49" fontId="15" fillId="29" borderId="184" xfId="0" applyNumberFormat="1" applyFont="1" applyFill="1" applyBorder="1" applyAlignment="1">
      <alignment horizontal="center" vertical="top"/>
    </xf>
    <xf numFmtId="49" fontId="15" fillId="29" borderId="143" xfId="0" applyNumberFormat="1" applyFont="1" applyFill="1" applyBorder="1" applyAlignment="1">
      <alignment horizontal="center" vertical="top"/>
    </xf>
    <xf numFmtId="49" fontId="15" fillId="29" borderId="150" xfId="0" applyNumberFormat="1" applyFont="1" applyFill="1" applyBorder="1" applyAlignment="1">
      <alignment horizontal="center" vertical="top"/>
    </xf>
    <xf numFmtId="49" fontId="15" fillId="29" borderId="144" xfId="0" applyNumberFormat="1" applyFont="1" applyFill="1" applyBorder="1" applyAlignment="1">
      <alignment horizontal="center" vertical="top"/>
    </xf>
    <xf numFmtId="1" fontId="14" fillId="25" borderId="132" xfId="0" applyNumberFormat="1" applyFont="1" applyFill="1" applyBorder="1" applyAlignment="1">
      <alignment horizontal="left" vertical="center" wrapText="1"/>
    </xf>
    <xf numFmtId="1" fontId="14" fillId="25" borderId="126" xfId="0" applyNumberFormat="1" applyFont="1" applyFill="1" applyBorder="1" applyAlignment="1">
      <alignment horizontal="left" vertical="center" wrapText="1"/>
    </xf>
    <xf numFmtId="1" fontId="14" fillId="25" borderId="166" xfId="0" applyNumberFormat="1" applyFont="1" applyFill="1" applyBorder="1" applyAlignment="1">
      <alignment horizontal="left" vertical="center" wrapText="1"/>
    </xf>
    <xf numFmtId="0" fontId="14" fillId="0" borderId="136" xfId="0" quotePrefix="1" applyFont="1" applyBorder="1" applyAlignment="1">
      <alignment horizontal="center" vertical="center" wrapText="1"/>
    </xf>
    <xf numFmtId="0" fontId="13" fillId="0" borderId="137" xfId="0" quotePrefix="1" applyFont="1" applyBorder="1" applyAlignment="1">
      <alignment horizontal="center" vertical="center" wrapText="1"/>
    </xf>
    <xf numFmtId="0" fontId="13" fillId="0" borderId="138" xfId="0" quotePrefix="1" applyFont="1" applyBorder="1" applyAlignment="1">
      <alignment horizontal="center" vertical="center" wrapText="1"/>
    </xf>
    <xf numFmtId="49" fontId="15" fillId="29" borderId="157" xfId="0" applyNumberFormat="1" applyFont="1" applyFill="1" applyBorder="1" applyAlignment="1">
      <alignment horizontal="center" vertical="top"/>
    </xf>
    <xf numFmtId="49" fontId="15" fillId="29" borderId="7" xfId="0" applyNumberFormat="1" applyFont="1" applyFill="1" applyBorder="1" applyAlignment="1">
      <alignment horizontal="center" vertical="top"/>
    </xf>
    <xf numFmtId="166" fontId="15" fillId="0" borderId="157" xfId="0" applyNumberFormat="1" applyFont="1" applyBorder="1" applyAlignment="1">
      <alignment horizontal="center" vertical="top" wrapText="1"/>
    </xf>
    <xf numFmtId="166" fontId="15" fillId="0" borderId="7" xfId="0" applyNumberFormat="1" applyFont="1" applyBorder="1" applyAlignment="1">
      <alignment horizontal="center" vertical="top" wrapText="1"/>
    </xf>
    <xf numFmtId="166" fontId="20" fillId="0" borderId="5" xfId="0" applyNumberFormat="1" applyFont="1" applyBorder="1" applyAlignment="1">
      <alignment horizontal="left" vertical="top" wrapText="1"/>
    </xf>
    <xf numFmtId="49" fontId="15" fillId="30" borderId="52" xfId="0" applyNumberFormat="1" applyFont="1" applyFill="1" applyBorder="1" applyAlignment="1">
      <alignment horizontal="center" vertical="top"/>
    </xf>
    <xf numFmtId="166" fontId="15" fillId="0" borderId="13" xfId="0" quotePrefix="1" applyNumberFormat="1" applyFont="1" applyBorder="1" applyAlignment="1">
      <alignment horizontal="center" vertical="top" wrapText="1"/>
    </xf>
    <xf numFmtId="166" fontId="15" fillId="0" borderId="13" xfId="0" applyNumberFormat="1" applyFont="1" applyBorder="1" applyAlignment="1">
      <alignment horizontal="center" vertical="top" wrapText="1"/>
    </xf>
    <xf numFmtId="166" fontId="20" fillId="0" borderId="39" xfId="0" applyNumberFormat="1" applyFont="1" applyBorder="1" applyAlignment="1">
      <alignment horizontal="left" vertical="top" wrapText="1"/>
    </xf>
    <xf numFmtId="166" fontId="20" fillId="0" borderId="79" xfId="0" applyNumberFormat="1" applyFont="1" applyBorder="1" applyAlignment="1">
      <alignment horizontal="left" vertical="top"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49" fontId="15" fillId="30" borderId="129" xfId="0" applyNumberFormat="1" applyFont="1" applyFill="1" applyBorder="1" applyAlignment="1">
      <alignment horizontal="center" vertical="top"/>
    </xf>
    <xf numFmtId="49" fontId="15" fillId="29" borderId="138" xfId="0" applyNumberFormat="1" applyFont="1" applyFill="1" applyBorder="1" applyAlignment="1">
      <alignment horizontal="center" vertical="top"/>
    </xf>
    <xf numFmtId="166" fontId="15" fillId="29" borderId="116" xfId="0" applyNumberFormat="1" applyFont="1" applyFill="1" applyBorder="1" applyAlignment="1">
      <alignment horizontal="right" vertical="top"/>
    </xf>
    <xf numFmtId="166" fontId="15" fillId="29" borderId="112" xfId="0" applyNumberFormat="1" applyFont="1" applyFill="1" applyBorder="1" applyAlignment="1">
      <alignment horizontal="right" vertical="top"/>
    </xf>
    <xf numFmtId="166" fontId="15" fillId="29" borderId="117" xfId="0" applyNumberFormat="1" applyFont="1" applyFill="1" applyBorder="1" applyAlignment="1">
      <alignment horizontal="right" vertical="top"/>
    </xf>
    <xf numFmtId="166" fontId="15" fillId="29" borderId="110" xfId="0" applyNumberFormat="1" applyFont="1" applyFill="1" applyBorder="1" applyAlignment="1">
      <alignment horizontal="right" vertical="top"/>
    </xf>
    <xf numFmtId="1" fontId="20" fillId="25" borderId="59" xfId="0" applyNumberFormat="1" applyFont="1" applyFill="1" applyBorder="1" applyAlignment="1">
      <alignment horizontal="left" vertical="center" wrapText="1"/>
    </xf>
    <xf numFmtId="1" fontId="20" fillId="25" borderId="49" xfId="0" applyNumberFormat="1" applyFont="1" applyFill="1" applyBorder="1" applyAlignment="1">
      <alignment horizontal="left" vertical="center" wrapText="1"/>
    </xf>
    <xf numFmtId="2" fontId="15" fillId="30" borderId="51" xfId="0" quotePrefix="1" applyNumberFormat="1" applyFont="1" applyFill="1" applyBorder="1" applyAlignment="1">
      <alignment horizontal="center" vertical="top"/>
    </xf>
    <xf numFmtId="2" fontId="15" fillId="30" borderId="52" xfId="0" applyNumberFormat="1" applyFont="1" applyFill="1" applyBorder="1" applyAlignment="1">
      <alignment horizontal="center" vertical="top"/>
    </xf>
    <xf numFmtId="1" fontId="15" fillId="0" borderId="13" xfId="0" quotePrefix="1" applyNumberFormat="1" applyFont="1" applyBorder="1" applyAlignment="1">
      <alignment horizontal="center" vertical="top" wrapText="1"/>
    </xf>
    <xf numFmtId="1" fontId="15" fillId="0" borderId="13" xfId="0" applyNumberFormat="1" applyFont="1" applyBorder="1" applyAlignment="1">
      <alignment horizontal="center" vertical="top" wrapText="1"/>
    </xf>
    <xf numFmtId="1" fontId="20" fillId="25" borderId="70" xfId="0" applyNumberFormat="1" applyFont="1" applyFill="1" applyBorder="1" applyAlignment="1">
      <alignment horizontal="left" vertical="center" wrapText="1"/>
    </xf>
    <xf numFmtId="0" fontId="14" fillId="25" borderId="32" xfId="0" quotePrefix="1" applyFont="1" applyFill="1" applyBorder="1" applyAlignment="1">
      <alignment horizontal="center" vertical="center" wrapText="1"/>
    </xf>
    <xf numFmtId="0" fontId="20" fillId="25" borderId="34" xfId="0" applyFont="1" applyFill="1" applyBorder="1" applyAlignment="1">
      <alignment horizontal="center" vertical="center" wrapText="1"/>
    </xf>
    <xf numFmtId="166" fontId="14" fillId="0" borderId="59" xfId="0" quotePrefix="1" applyNumberFormat="1" applyFont="1" applyBorder="1" applyAlignment="1">
      <alignment horizontal="center" vertical="center" wrapText="1"/>
    </xf>
    <xf numFmtId="166" fontId="20" fillId="0" borderId="34" xfId="0" applyNumberFormat="1" applyFont="1" applyBorder="1" applyAlignment="1">
      <alignment horizontal="center" vertical="center" wrapText="1"/>
    </xf>
    <xf numFmtId="2" fontId="15" fillId="29" borderId="9" xfId="0" quotePrefix="1" applyNumberFormat="1" applyFont="1" applyFill="1" applyBorder="1" applyAlignment="1">
      <alignment horizontal="center" vertical="top"/>
    </xf>
    <xf numFmtId="2" fontId="15" fillId="29" borderId="13" xfId="0" applyNumberFormat="1" applyFont="1" applyFill="1" applyBorder="1" applyAlignment="1">
      <alignment horizontal="center" vertical="top"/>
    </xf>
    <xf numFmtId="0" fontId="14" fillId="0" borderId="204" xfId="0" applyFont="1" applyBorder="1" applyAlignment="1">
      <alignment horizontal="left" vertical="top" wrapText="1"/>
    </xf>
    <xf numFmtId="0" fontId="14" fillId="0" borderId="188" xfId="0" applyFont="1" applyBorder="1" applyAlignment="1">
      <alignment horizontal="left" vertical="top" wrapText="1"/>
    </xf>
    <xf numFmtId="2" fontId="15" fillId="0" borderId="181" xfId="0" applyNumberFormat="1" applyFont="1" applyBorder="1" applyAlignment="1">
      <alignment horizontal="center" vertical="top"/>
    </xf>
    <xf numFmtId="2" fontId="15" fillId="0" borderId="139" xfId="0" applyNumberFormat="1" applyFont="1" applyBorder="1" applyAlignment="1">
      <alignment horizontal="center" vertical="top"/>
    </xf>
    <xf numFmtId="1" fontId="14" fillId="25" borderId="136" xfId="0" applyNumberFormat="1" applyFont="1" applyFill="1" applyBorder="1" applyAlignment="1">
      <alignment horizontal="left" vertical="center" wrapText="1"/>
    </xf>
    <xf numFmtId="1" fontId="14" fillId="25" borderId="137" xfId="0" applyNumberFormat="1" applyFont="1" applyFill="1" applyBorder="1" applyAlignment="1">
      <alignment horizontal="left" vertical="center" wrapText="1"/>
    </xf>
    <xf numFmtId="1" fontId="14" fillId="25" borderId="0" xfId="0" applyNumberFormat="1" applyFont="1" applyFill="1" applyAlignment="1">
      <alignment horizontal="left" vertical="center" wrapText="1"/>
    </xf>
    <xf numFmtId="166" fontId="20" fillId="25" borderId="246" xfId="0" applyNumberFormat="1" applyFont="1" applyFill="1" applyBorder="1" applyAlignment="1">
      <alignment horizontal="center" vertical="center" wrapText="1"/>
    </xf>
    <xf numFmtId="166" fontId="20" fillId="25" borderId="249" xfId="0" applyNumberFormat="1" applyFont="1" applyFill="1" applyBorder="1" applyAlignment="1">
      <alignment horizontal="center" vertical="center" wrapText="1"/>
    </xf>
    <xf numFmtId="2" fontId="14" fillId="0" borderId="245" xfId="0" applyNumberFormat="1" applyFont="1" applyBorder="1" applyAlignment="1">
      <alignment horizontal="center" vertical="center"/>
    </xf>
    <xf numFmtId="2" fontId="14" fillId="0" borderId="238" xfId="0" applyNumberFormat="1" applyFont="1" applyBorder="1" applyAlignment="1">
      <alignment horizontal="center" vertical="center"/>
    </xf>
    <xf numFmtId="2" fontId="14" fillId="0" borderId="293" xfId="0" applyNumberFormat="1" applyFont="1" applyBorder="1" applyAlignment="1">
      <alignment horizontal="center" vertical="center"/>
    </xf>
    <xf numFmtId="2" fontId="14" fillId="0" borderId="296" xfId="0" applyNumberFormat="1" applyFont="1" applyBorder="1" applyAlignment="1">
      <alignment horizontal="center" vertical="center"/>
    </xf>
    <xf numFmtId="1" fontId="28" fillId="0" borderId="32" xfId="0" quotePrefix="1" applyNumberFormat="1" applyFont="1" applyBorder="1" applyAlignment="1">
      <alignment horizontal="center" vertical="center" wrapText="1"/>
    </xf>
    <xf numFmtId="1" fontId="28" fillId="0" borderId="33" xfId="0" quotePrefix="1" applyNumberFormat="1" applyFont="1" applyBorder="1" applyAlignment="1">
      <alignment horizontal="center" vertical="center" wrapText="1"/>
    </xf>
    <xf numFmtId="166" fontId="15" fillId="29" borderId="124" xfId="0" applyNumberFormat="1" applyFont="1" applyFill="1" applyBorder="1" applyAlignment="1">
      <alignment horizontal="left" vertical="top" wrapText="1"/>
    </xf>
    <xf numFmtId="166" fontId="15" fillId="29" borderId="176" xfId="0" applyNumberFormat="1" applyFont="1" applyFill="1" applyBorder="1" applyAlignment="1">
      <alignment horizontal="left" vertical="top" wrapText="1"/>
    </xf>
    <xf numFmtId="166" fontId="15" fillId="29" borderId="261" xfId="0" applyNumberFormat="1" applyFont="1" applyFill="1" applyBorder="1" applyAlignment="1">
      <alignment horizontal="left" vertical="top" wrapText="1"/>
    </xf>
    <xf numFmtId="166" fontId="13" fillId="25" borderId="159" xfId="0" applyNumberFormat="1" applyFont="1" applyFill="1" applyBorder="1" applyAlignment="1">
      <alignment horizontal="center" vertical="center" wrapText="1"/>
    </xf>
    <xf numFmtId="166" fontId="13" fillId="25" borderId="49" xfId="0" applyNumberFormat="1" applyFont="1" applyFill="1" applyBorder="1" applyAlignment="1">
      <alignment horizontal="center" vertical="center" wrapText="1"/>
    </xf>
    <xf numFmtId="0" fontId="14" fillId="0" borderId="132" xfId="0" quotePrefix="1" applyFont="1" applyBorder="1" applyAlignment="1">
      <alignment horizontal="center" vertical="center" wrapText="1"/>
    </xf>
    <xf numFmtId="0" fontId="20" fillId="0" borderId="121" xfId="0" applyFont="1" applyBorder="1" applyAlignment="1">
      <alignment horizontal="center" vertical="center" wrapText="1"/>
    </xf>
    <xf numFmtId="49" fontId="20" fillId="0" borderId="59" xfId="0" applyNumberFormat="1" applyFont="1" applyBorder="1" applyAlignment="1">
      <alignment horizontal="left" vertical="center" wrapText="1"/>
    </xf>
    <xf numFmtId="0" fontId="16" fillId="25" borderId="12" xfId="0" applyFont="1" applyFill="1" applyBorder="1" applyAlignment="1">
      <alignment horizontal="left" vertical="top" wrapText="1"/>
    </xf>
    <xf numFmtId="0" fontId="16" fillId="25" borderId="26" xfId="0" applyFont="1" applyFill="1" applyBorder="1" applyAlignment="1">
      <alignment horizontal="left" vertical="top" wrapText="1"/>
    </xf>
    <xf numFmtId="0" fontId="14" fillId="25" borderId="50" xfId="0" quotePrefix="1" applyFont="1" applyFill="1" applyBorder="1" applyAlignment="1">
      <alignment horizontal="center" vertical="center"/>
    </xf>
    <xf numFmtId="0" fontId="14" fillId="25" borderId="80" xfId="0" quotePrefix="1" applyFont="1" applyFill="1" applyBorder="1" applyAlignment="1">
      <alignment horizontal="center" vertical="center"/>
    </xf>
    <xf numFmtId="0" fontId="14" fillId="25" borderId="33" xfId="0" quotePrefix="1" applyFont="1" applyFill="1" applyBorder="1" applyAlignment="1">
      <alignment horizontal="center" vertical="center"/>
    </xf>
    <xf numFmtId="0" fontId="13" fillId="25" borderId="91" xfId="0" quotePrefix="1" applyFont="1" applyFill="1" applyBorder="1" applyAlignment="1">
      <alignment horizontal="center" vertical="center"/>
    </xf>
    <xf numFmtId="0" fontId="13" fillId="25" borderId="59" xfId="0" quotePrefix="1" applyFont="1" applyFill="1" applyBorder="1" applyAlignment="1">
      <alignment horizontal="center" vertical="center"/>
    </xf>
    <xf numFmtId="0" fontId="13" fillId="25" borderId="70" xfId="0" quotePrefix="1" applyFont="1" applyFill="1" applyBorder="1" applyAlignment="1">
      <alignment horizontal="center" vertical="center"/>
    </xf>
    <xf numFmtId="0" fontId="13" fillId="25" borderId="70" xfId="0" applyFont="1" applyFill="1" applyBorder="1" applyAlignment="1">
      <alignment horizontal="center" vertical="center"/>
    </xf>
    <xf numFmtId="0" fontId="13" fillId="25" borderId="32" xfId="0" applyFont="1" applyFill="1" applyBorder="1" applyAlignment="1">
      <alignment horizontal="center" vertical="center"/>
    </xf>
    <xf numFmtId="0" fontId="13" fillId="25" borderId="58" xfId="0" applyFont="1" applyFill="1" applyBorder="1" applyAlignment="1">
      <alignment horizontal="center" vertical="center"/>
    </xf>
    <xf numFmtId="0" fontId="16" fillId="0" borderId="63" xfId="0" applyFont="1" applyBorder="1" applyAlignment="1">
      <alignment horizontal="center" vertical="center" wrapText="1"/>
    </xf>
    <xf numFmtId="0" fontId="16" fillId="0" borderId="122" xfId="0" applyFont="1" applyBorder="1" applyAlignment="1">
      <alignment horizontal="center" vertical="center" wrapText="1"/>
    </xf>
    <xf numFmtId="0" fontId="16" fillId="0" borderId="243" xfId="0" applyFont="1" applyBorder="1" applyAlignment="1">
      <alignment horizontal="center" vertical="center" wrapText="1"/>
    </xf>
    <xf numFmtId="0" fontId="16" fillId="0" borderId="0" xfId="0" quotePrefix="1" applyFont="1" applyAlignment="1">
      <alignment horizontal="center" vertical="center" wrapText="1"/>
    </xf>
    <xf numFmtId="49" fontId="17" fillId="41" borderId="70" xfId="0" applyNumberFormat="1" applyFont="1" applyFill="1" applyBorder="1" applyAlignment="1">
      <alignment horizontal="center" vertical="top"/>
    </xf>
    <xf numFmtId="49" fontId="17" fillId="41" borderId="59" xfId="0" applyNumberFormat="1" applyFont="1" applyFill="1" applyBorder="1" applyAlignment="1">
      <alignment horizontal="center" vertical="top"/>
    </xf>
    <xf numFmtId="49" fontId="17" fillId="41" borderId="49" xfId="0" applyNumberFormat="1" applyFont="1" applyFill="1" applyBorder="1" applyAlignment="1">
      <alignment horizontal="center" vertical="top"/>
    </xf>
    <xf numFmtId="49" fontId="17" fillId="42" borderId="137" xfId="0" applyNumberFormat="1" applyFont="1" applyFill="1" applyBorder="1" applyAlignment="1">
      <alignment horizontal="center" vertical="top"/>
    </xf>
    <xf numFmtId="49" fontId="17" fillId="42" borderId="138" xfId="0" applyNumberFormat="1" applyFont="1" applyFill="1" applyBorder="1" applyAlignment="1">
      <alignment horizontal="center" vertical="top"/>
    </xf>
    <xf numFmtId="49" fontId="17" fillId="25" borderId="70" xfId="34" quotePrefix="1" applyNumberFormat="1" applyFont="1" applyFill="1" applyBorder="1" applyAlignment="1">
      <alignment horizontal="center" vertical="top"/>
    </xf>
    <xf numFmtId="49" fontId="17" fillId="25" borderId="59" xfId="34" quotePrefix="1" applyNumberFormat="1" applyFont="1" applyFill="1" applyBorder="1" applyAlignment="1">
      <alignment horizontal="center" vertical="top"/>
    </xf>
    <xf numFmtId="49" fontId="17" fillId="25" borderId="49" xfId="34" quotePrefix="1" applyNumberFormat="1" applyFont="1" applyFill="1" applyBorder="1" applyAlignment="1">
      <alignment horizontal="center" vertical="top"/>
    </xf>
    <xf numFmtId="0" fontId="13" fillId="25" borderId="70" xfId="0" applyFont="1" applyFill="1" applyBorder="1" applyAlignment="1">
      <alignment horizontal="left" vertical="top" wrapText="1"/>
    </xf>
    <xf numFmtId="0" fontId="13" fillId="25" borderId="59" xfId="0" applyFont="1" applyFill="1" applyBorder="1" applyAlignment="1">
      <alignment horizontal="left" vertical="top" wrapText="1"/>
    </xf>
    <xf numFmtId="0" fontId="13" fillId="25" borderId="49" xfId="0" applyFont="1" applyFill="1" applyBorder="1" applyAlignment="1">
      <alignment horizontal="left" vertical="top" wrapText="1"/>
    </xf>
    <xf numFmtId="0" fontId="16" fillId="25" borderId="70" xfId="0" applyFont="1" applyFill="1" applyBorder="1" applyAlignment="1">
      <alignment horizontal="center" vertical="center" wrapText="1"/>
    </xf>
    <xf numFmtId="0" fontId="16" fillId="25" borderId="59" xfId="0" applyFont="1" applyFill="1" applyBorder="1" applyAlignment="1">
      <alignment horizontal="center" vertical="center" wrapText="1"/>
    </xf>
    <xf numFmtId="0" fontId="16" fillId="25" borderId="49" xfId="0" applyFont="1" applyFill="1" applyBorder="1" applyAlignment="1">
      <alignment horizontal="center" vertical="center" wrapText="1"/>
    </xf>
    <xf numFmtId="49" fontId="16" fillId="25" borderId="70" xfId="0" quotePrefix="1" applyNumberFormat="1" applyFont="1" applyFill="1" applyBorder="1" applyAlignment="1">
      <alignment horizontal="center" vertical="center" wrapText="1"/>
    </xf>
    <xf numFmtId="49" fontId="16" fillId="25" borderId="59" xfId="0" quotePrefix="1" applyNumberFormat="1" applyFont="1" applyFill="1" applyBorder="1" applyAlignment="1">
      <alignment horizontal="center" vertical="center" wrapText="1"/>
    </xf>
    <xf numFmtId="49" fontId="16" fillId="25" borderId="49" xfId="0" quotePrefix="1" applyNumberFormat="1" applyFont="1" applyFill="1" applyBorder="1" applyAlignment="1">
      <alignment horizontal="center" vertical="center" wrapText="1"/>
    </xf>
    <xf numFmtId="49" fontId="17" fillId="29" borderId="137" xfId="0" applyNumberFormat="1" applyFont="1" applyFill="1" applyBorder="1" applyAlignment="1">
      <alignment horizontal="center" vertical="top"/>
    </xf>
    <xf numFmtId="49" fontId="17" fillId="29" borderId="136" xfId="0" applyNumberFormat="1" applyFont="1" applyFill="1" applyBorder="1" applyAlignment="1">
      <alignment horizontal="center" vertical="top"/>
    </xf>
    <xf numFmtId="49" fontId="17" fillId="25" borderId="132" xfId="34" quotePrefix="1" applyNumberFormat="1" applyFont="1" applyFill="1" applyBorder="1" applyAlignment="1">
      <alignment horizontal="center" vertical="top"/>
    </xf>
    <xf numFmtId="0" fontId="13" fillId="25" borderId="122" xfId="0" applyFont="1" applyFill="1" applyBorder="1" applyAlignment="1">
      <alignment horizontal="left" vertical="top" wrapText="1"/>
    </xf>
    <xf numFmtId="0" fontId="16" fillId="0" borderId="132" xfId="0" applyFont="1" applyBorder="1" applyAlignment="1">
      <alignment horizontal="center" vertical="center" wrapText="1"/>
    </xf>
    <xf numFmtId="0" fontId="16" fillId="0" borderId="164" xfId="0" applyFont="1" applyBorder="1" applyAlignment="1">
      <alignment horizontal="left" vertical="center" wrapText="1"/>
    </xf>
    <xf numFmtId="0" fontId="16" fillId="0" borderId="155" xfId="0" applyFont="1" applyBorder="1" applyAlignment="1">
      <alignment horizontal="left" vertical="center" wrapText="1"/>
    </xf>
    <xf numFmtId="0" fontId="16" fillId="0" borderId="168" xfId="0" applyFont="1" applyBorder="1" applyAlignment="1">
      <alignment horizontal="left" vertical="center" wrapText="1"/>
    </xf>
    <xf numFmtId="0" fontId="14" fillId="0" borderId="121" xfId="0" applyFont="1" applyBorder="1" applyAlignment="1">
      <alignment horizontal="left" vertical="center" wrapText="1"/>
    </xf>
    <xf numFmtId="0" fontId="16" fillId="25" borderId="33" xfId="0" applyFont="1" applyFill="1" applyBorder="1" applyAlignment="1">
      <alignment horizontal="center" vertical="center" wrapText="1"/>
    </xf>
    <xf numFmtId="49" fontId="17" fillId="30" borderId="208" xfId="0" applyNumberFormat="1" applyFont="1" applyFill="1" applyBorder="1" applyAlignment="1">
      <alignment horizontal="center" vertical="top"/>
    </xf>
    <xf numFmtId="49" fontId="17" fillId="30" borderId="33" xfId="0" applyNumberFormat="1" applyFont="1" applyFill="1" applyBorder="1" applyAlignment="1">
      <alignment horizontal="center" vertical="top"/>
    </xf>
    <xf numFmtId="49" fontId="17" fillId="30" borderId="129" xfId="0" applyNumberFormat="1" applyFont="1" applyFill="1" applyBorder="1" applyAlignment="1">
      <alignment horizontal="center" vertical="top"/>
    </xf>
    <xf numFmtId="49" fontId="17" fillId="42" borderId="70" xfId="0" applyNumberFormat="1" applyFont="1" applyFill="1" applyBorder="1" applyAlignment="1">
      <alignment horizontal="center" vertical="top"/>
    </xf>
    <xf numFmtId="49" fontId="17" fillId="42" borderId="59" xfId="0" applyNumberFormat="1" applyFont="1" applyFill="1" applyBorder="1" applyAlignment="1">
      <alignment horizontal="center" vertical="top"/>
    </xf>
    <xf numFmtId="49" fontId="17" fillId="42" borderId="49" xfId="0" applyNumberFormat="1" applyFont="1" applyFill="1" applyBorder="1" applyAlignment="1">
      <alignment horizontal="center" vertical="top"/>
    </xf>
    <xf numFmtId="49" fontId="17" fillId="0" borderId="11" xfId="0" applyNumberFormat="1" applyFont="1" applyBorder="1" applyAlignment="1">
      <alignment horizontal="center" vertical="top"/>
    </xf>
    <xf numFmtId="49" fontId="17" fillId="0" borderId="13" xfId="0" applyNumberFormat="1" applyFont="1" applyBorder="1" applyAlignment="1">
      <alignment horizontal="center" vertical="top"/>
    </xf>
    <xf numFmtId="49" fontId="17" fillId="29" borderId="138" xfId="0" applyNumberFormat="1" applyFont="1" applyFill="1" applyBorder="1" applyAlignment="1">
      <alignment horizontal="center" vertical="top"/>
    </xf>
    <xf numFmtId="49" fontId="17" fillId="0" borderId="136" xfId="0" applyNumberFormat="1" applyFont="1" applyBorder="1" applyAlignment="1">
      <alignment horizontal="center" vertical="top"/>
    </xf>
    <xf numFmtId="49" fontId="17" fillId="0" borderId="137" xfId="0" applyNumberFormat="1" applyFont="1" applyBorder="1" applyAlignment="1">
      <alignment horizontal="center" vertical="top"/>
    </xf>
    <xf numFmtId="49" fontId="17" fillId="0" borderId="138" xfId="0" applyNumberFormat="1" applyFont="1" applyBorder="1" applyAlignment="1">
      <alignment horizontal="center" vertical="top"/>
    </xf>
    <xf numFmtId="49" fontId="17" fillId="29" borderId="171" xfId="0" applyNumberFormat="1" applyFont="1" applyFill="1" applyBorder="1" applyAlignment="1">
      <alignment horizontal="center" vertical="top"/>
    </xf>
    <xf numFmtId="49" fontId="17" fillId="29" borderId="59" xfId="0" applyNumberFormat="1" applyFont="1" applyFill="1" applyBorder="1" applyAlignment="1">
      <alignment horizontal="center" vertical="top"/>
    </xf>
    <xf numFmtId="49" fontId="17" fillId="29" borderId="123" xfId="0" applyNumberFormat="1" applyFont="1" applyFill="1" applyBorder="1" applyAlignment="1">
      <alignment horizontal="center" vertical="top"/>
    </xf>
    <xf numFmtId="49" fontId="17" fillId="29" borderId="32" xfId="0" applyNumberFormat="1" applyFont="1" applyFill="1" applyBorder="1" applyAlignment="1">
      <alignment horizontal="center" vertical="top"/>
    </xf>
    <xf numFmtId="49" fontId="17" fillId="29" borderId="33" xfId="0" applyNumberFormat="1" applyFont="1" applyFill="1" applyBorder="1" applyAlignment="1">
      <alignment horizontal="center" vertical="top"/>
    </xf>
    <xf numFmtId="49" fontId="17" fillId="29" borderId="66" xfId="0" applyNumberFormat="1" applyFont="1" applyFill="1" applyBorder="1" applyAlignment="1">
      <alignment horizontal="center" vertical="top"/>
    </xf>
    <xf numFmtId="49" fontId="17" fillId="29" borderId="52" xfId="0" applyNumberFormat="1" applyFont="1" applyFill="1" applyBorder="1" applyAlignment="1">
      <alignment horizontal="center" vertical="top"/>
    </xf>
    <xf numFmtId="49" fontId="17" fillId="30" borderId="136" xfId="0" applyNumberFormat="1" applyFont="1" applyFill="1" applyBorder="1" applyAlignment="1">
      <alignment horizontal="center" vertical="top"/>
    </xf>
    <xf numFmtId="49" fontId="17" fillId="30" borderId="137" xfId="0" applyNumberFormat="1" applyFont="1" applyFill="1" applyBorder="1" applyAlignment="1">
      <alignment horizontal="center" vertical="top"/>
    </xf>
    <xf numFmtId="49" fontId="17" fillId="30" borderId="138" xfId="0" applyNumberFormat="1" applyFont="1" applyFill="1" applyBorder="1" applyAlignment="1">
      <alignment horizontal="center" vertical="top"/>
    </xf>
    <xf numFmtId="49" fontId="17" fillId="41" borderId="126" xfId="0" applyNumberFormat="1" applyFont="1" applyFill="1" applyBorder="1" applyAlignment="1">
      <alignment horizontal="center" vertical="top"/>
    </xf>
    <xf numFmtId="49" fontId="17" fillId="41" borderId="121" xfId="0" applyNumberFormat="1" applyFont="1" applyFill="1" applyBorder="1" applyAlignment="1">
      <alignment horizontal="center" vertical="top"/>
    </xf>
    <xf numFmtId="0" fontId="16" fillId="0" borderId="132" xfId="0" applyFont="1" applyBorder="1" applyAlignment="1">
      <alignment horizontal="left" vertical="center" wrapText="1"/>
    </xf>
    <xf numFmtId="0" fontId="16" fillId="0" borderId="178" xfId="0" applyFont="1" applyBorder="1" applyAlignment="1">
      <alignment horizontal="left" vertical="center" wrapText="1"/>
    </xf>
    <xf numFmtId="49" fontId="18" fillId="30" borderId="58" xfId="0" applyNumberFormat="1" applyFont="1" applyFill="1" applyBorder="1" applyAlignment="1">
      <alignment horizontal="center" vertical="top"/>
    </xf>
    <xf numFmtId="0" fontId="14" fillId="0" borderId="0" xfId="0" applyFont="1" applyAlignment="1">
      <alignment horizontal="left" vertical="center" wrapText="1"/>
    </xf>
    <xf numFmtId="49" fontId="17" fillId="25" borderId="136" xfId="0" applyNumberFormat="1" applyFont="1" applyFill="1" applyBorder="1" applyAlignment="1">
      <alignment horizontal="center" vertical="top"/>
    </xf>
    <xf numFmtId="49" fontId="17" fillId="25" borderId="137" xfId="0" applyNumberFormat="1" applyFont="1" applyFill="1" applyBorder="1" applyAlignment="1">
      <alignment horizontal="center" vertical="top"/>
    </xf>
    <xf numFmtId="49" fontId="14" fillId="25" borderId="137" xfId="0" applyNumberFormat="1" applyFont="1" applyFill="1" applyBorder="1" applyAlignment="1">
      <alignment horizontal="left" vertical="top" wrapText="1"/>
    </xf>
    <xf numFmtId="49" fontId="16" fillId="25" borderId="137" xfId="0" applyNumberFormat="1" applyFont="1" applyFill="1" applyBorder="1" applyAlignment="1">
      <alignment horizontal="left" vertical="top" wrapText="1"/>
    </xf>
    <xf numFmtId="49" fontId="17" fillId="25" borderId="137" xfId="0" applyNumberFormat="1" applyFont="1" applyFill="1" applyBorder="1" applyAlignment="1">
      <alignment horizontal="center" vertical="center"/>
    </xf>
    <xf numFmtId="0" fontId="13" fillId="25" borderId="171" xfId="0" applyFont="1" applyFill="1" applyBorder="1" applyAlignment="1">
      <alignment horizontal="left" vertical="top" wrapText="1"/>
    </xf>
    <xf numFmtId="0" fontId="13" fillId="25" borderId="130" xfId="0" applyFont="1" applyFill="1" applyBorder="1" applyAlignment="1">
      <alignment horizontal="left" vertical="top" wrapText="1"/>
    </xf>
    <xf numFmtId="0" fontId="16" fillId="0" borderId="208" xfId="0" applyFont="1" applyBorder="1" applyAlignment="1">
      <alignment horizontal="center" vertical="center" wrapText="1"/>
    </xf>
    <xf numFmtId="0" fontId="16" fillId="0" borderId="173" xfId="0" applyFont="1" applyBorder="1" applyAlignment="1">
      <alignment horizontal="center" vertical="center" wrapText="1"/>
    </xf>
    <xf numFmtId="49" fontId="18" fillId="0" borderId="171" xfId="0" applyNumberFormat="1" applyFont="1" applyBorder="1" applyAlignment="1">
      <alignment horizontal="center" vertical="top"/>
    </xf>
    <xf numFmtId="49" fontId="18" fillId="0" borderId="70" xfId="0" applyNumberFormat="1" applyFont="1" applyBorder="1" applyAlignment="1">
      <alignment horizontal="center" vertical="top"/>
    </xf>
    <xf numFmtId="49" fontId="18" fillId="29" borderId="171" xfId="0" applyNumberFormat="1" applyFont="1" applyFill="1" applyBorder="1" applyAlignment="1">
      <alignment horizontal="center" vertical="top"/>
    </xf>
    <xf numFmtId="0" fontId="14" fillId="0" borderId="141" xfId="0" applyFont="1" applyBorder="1" applyAlignment="1">
      <alignment horizontal="left" vertical="center"/>
    </xf>
    <xf numFmtId="0" fontId="14" fillId="0" borderId="139" xfId="0" applyFont="1" applyBorder="1" applyAlignment="1">
      <alignment horizontal="left" vertical="center"/>
    </xf>
    <xf numFmtId="0" fontId="14" fillId="0" borderId="70" xfId="0" applyFont="1" applyBorder="1" applyAlignment="1">
      <alignment horizontal="left" vertical="top" wrapText="1"/>
    </xf>
    <xf numFmtId="0" fontId="14" fillId="0" borderId="49" xfId="0" applyFont="1" applyBorder="1" applyAlignment="1">
      <alignment horizontal="left" vertical="top" wrapText="1"/>
    </xf>
    <xf numFmtId="0" fontId="14" fillId="0" borderId="0" xfId="0" applyFont="1" applyAlignment="1">
      <alignment horizontal="left" vertical="center"/>
    </xf>
    <xf numFmtId="0" fontId="14" fillId="0" borderId="122" xfId="0" applyFont="1" applyBorder="1" applyAlignment="1">
      <alignment horizontal="left" vertical="center"/>
    </xf>
    <xf numFmtId="0" fontId="14" fillId="0" borderId="136" xfId="0" applyFont="1" applyBorder="1" applyAlignment="1">
      <alignment horizontal="left" vertical="center"/>
    </xf>
    <xf numFmtId="0" fontId="14" fillId="0" borderId="143" xfId="0" applyFont="1" applyBorder="1" applyAlignment="1">
      <alignment horizontal="left" vertical="center" wrapText="1"/>
    </xf>
    <xf numFmtId="0" fontId="14" fillId="0" borderId="435" xfId="0" applyFont="1" applyBorder="1" applyAlignment="1">
      <alignment horizontal="left" vertical="center" wrapText="1"/>
    </xf>
    <xf numFmtId="0" fontId="14" fillId="0" borderId="106" xfId="0" applyFont="1" applyBorder="1" applyAlignment="1">
      <alignment horizontal="left" vertical="center" wrapText="1"/>
    </xf>
    <xf numFmtId="0" fontId="14" fillId="0" borderId="200" xfId="0" applyFont="1" applyBorder="1" applyAlignment="1">
      <alignment horizontal="left" vertical="center" wrapText="1"/>
    </xf>
    <xf numFmtId="0" fontId="14" fillId="0" borderId="131" xfId="0" applyFont="1" applyBorder="1" applyAlignment="1">
      <alignment horizontal="left" vertical="center" wrapText="1"/>
    </xf>
    <xf numFmtId="49" fontId="17" fillId="41" borderId="137" xfId="0" applyNumberFormat="1" applyFont="1" applyFill="1" applyBorder="1" applyAlignment="1">
      <alignment horizontal="center" vertical="top"/>
    </xf>
    <xf numFmtId="0" fontId="16" fillId="0" borderId="105" xfId="0" quotePrefix="1" applyFont="1" applyBorder="1" applyAlignment="1">
      <alignment horizontal="center" vertical="center" wrapText="1"/>
    </xf>
    <xf numFmtId="0" fontId="16" fillId="0" borderId="54" xfId="0" quotePrefix="1" applyFont="1" applyBorder="1" applyAlignment="1">
      <alignment horizontal="center" vertical="center" wrapText="1"/>
    </xf>
    <xf numFmtId="0" fontId="16" fillId="0" borderId="64" xfId="0" quotePrefix="1" applyFont="1" applyBorder="1" applyAlignment="1">
      <alignment horizontal="center" vertical="center" wrapText="1"/>
    </xf>
    <xf numFmtId="165" fontId="13" fillId="39" borderId="0" xfId="35" applyNumberFormat="1" applyFont="1" applyFill="1" applyAlignment="1">
      <alignment vertical="center" wrapText="1"/>
    </xf>
    <xf numFmtId="165" fontId="13" fillId="39" borderId="340" xfId="35" applyNumberFormat="1" applyFont="1" applyFill="1" applyBorder="1" applyAlignment="1">
      <alignment vertical="center" wrapText="1"/>
    </xf>
    <xf numFmtId="49" fontId="18" fillId="0" borderId="59" xfId="0" applyNumberFormat="1" applyFont="1" applyBorder="1" applyAlignment="1">
      <alignment horizontal="center" vertical="top"/>
    </xf>
    <xf numFmtId="49" fontId="17" fillId="42" borderId="122" xfId="0" applyNumberFormat="1" applyFont="1" applyFill="1" applyBorder="1" applyAlignment="1">
      <alignment horizontal="center" vertical="top"/>
    </xf>
    <xf numFmtId="49" fontId="17" fillId="42" borderId="0" xfId="0" applyNumberFormat="1" applyFont="1" applyFill="1" applyAlignment="1">
      <alignment horizontal="center" vertical="top"/>
    </xf>
    <xf numFmtId="0" fontId="16" fillId="25" borderId="142" xfId="0" applyFont="1" applyFill="1" applyBorder="1" applyAlignment="1">
      <alignment horizontal="left" vertical="center" wrapText="1"/>
    </xf>
    <xf numFmtId="0" fontId="16" fillId="25" borderId="143" xfId="0" applyFont="1" applyFill="1" applyBorder="1" applyAlignment="1">
      <alignment horizontal="left" vertical="center" wrapText="1"/>
    </xf>
    <xf numFmtId="0" fontId="14" fillId="25" borderId="155" xfId="0" applyFont="1" applyFill="1" applyBorder="1" applyAlignment="1">
      <alignment horizontal="left" vertical="center" wrapText="1"/>
    </xf>
    <xf numFmtId="0" fontId="14" fillId="25" borderId="0" xfId="0" applyFont="1" applyFill="1" applyAlignment="1">
      <alignment horizontal="left" vertical="center" wrapText="1"/>
    </xf>
    <xf numFmtId="0" fontId="14" fillId="25" borderId="141" xfId="0" applyFont="1" applyFill="1" applyBorder="1" applyAlignment="1">
      <alignment horizontal="left" vertical="center" wrapText="1"/>
    </xf>
    <xf numFmtId="0" fontId="16" fillId="0" borderId="77" xfId="0" applyFont="1" applyBorder="1" applyAlignment="1">
      <alignment horizontal="center" vertical="center" wrapText="1"/>
    </xf>
    <xf numFmtId="0" fontId="14" fillId="0" borderId="332" xfId="0" applyFont="1" applyBorder="1" applyAlignment="1">
      <alignment horizontal="left" vertical="center" wrapText="1"/>
    </xf>
    <xf numFmtId="0" fontId="14" fillId="0" borderId="140" xfId="0" applyFont="1" applyBorder="1" applyAlignment="1">
      <alignment horizontal="left" vertical="center" wrapText="1"/>
    </xf>
    <xf numFmtId="0" fontId="14" fillId="0" borderId="334" xfId="0" applyFont="1" applyBorder="1" applyAlignment="1">
      <alignment horizontal="left" vertical="center" wrapText="1"/>
    </xf>
    <xf numFmtId="0" fontId="14" fillId="0" borderId="392" xfId="0" applyFont="1" applyBorder="1" applyAlignment="1">
      <alignment horizontal="left" vertical="center" wrapText="1"/>
    </xf>
    <xf numFmtId="0" fontId="13" fillId="25" borderId="59" xfId="0" applyFont="1" applyFill="1" applyBorder="1" applyAlignment="1">
      <alignment horizontal="center" vertical="center" wrapText="1"/>
    </xf>
    <xf numFmtId="0" fontId="13" fillId="25" borderId="171" xfId="0" applyFont="1" applyFill="1" applyBorder="1" applyAlignment="1">
      <alignment horizontal="center" vertical="center" wrapText="1"/>
    </xf>
    <xf numFmtId="0" fontId="14" fillId="25" borderId="37" xfId="0" applyFont="1" applyFill="1" applyBorder="1" applyAlignment="1">
      <alignment horizontal="left" vertical="center" wrapText="1"/>
    </xf>
    <xf numFmtId="0" fontId="14" fillId="25" borderId="81" xfId="0" applyFont="1" applyFill="1" applyBorder="1" applyAlignment="1">
      <alignment horizontal="left" vertical="center" wrapText="1"/>
    </xf>
    <xf numFmtId="0" fontId="14" fillId="25" borderId="59" xfId="0" applyFont="1" applyFill="1" applyBorder="1" applyAlignment="1">
      <alignment horizontal="left" vertical="center" wrapText="1"/>
    </xf>
    <xf numFmtId="0" fontId="14" fillId="25" borderId="35" xfId="0" applyFont="1" applyFill="1" applyBorder="1" applyAlignment="1">
      <alignment horizontal="left" vertical="center" wrapText="1"/>
    </xf>
    <xf numFmtId="0" fontId="16" fillId="0" borderId="135" xfId="0" applyFont="1" applyBorder="1" applyAlignment="1">
      <alignment horizontal="left" vertical="center" wrapText="1"/>
    </xf>
    <xf numFmtId="0" fontId="14" fillId="0" borderId="166" xfId="0" applyFont="1" applyBorder="1" applyAlignment="1">
      <alignment horizontal="left" vertical="center" wrapText="1"/>
    </xf>
    <xf numFmtId="0" fontId="14" fillId="0" borderId="162" xfId="0" applyFont="1" applyBorder="1" applyAlignment="1">
      <alignment horizontal="left" vertical="center" wrapText="1"/>
    </xf>
    <xf numFmtId="0" fontId="16" fillId="0" borderId="136" xfId="0" applyFont="1" applyBorder="1" applyAlignment="1">
      <alignment horizontal="left" vertical="center" wrapText="1"/>
    </xf>
    <xf numFmtId="0" fontId="16" fillId="0" borderId="194" xfId="0" quotePrefix="1" applyFont="1" applyBorder="1" applyAlignment="1">
      <alignment horizontal="center" vertical="center" wrapText="1"/>
    </xf>
    <xf numFmtId="0" fontId="16" fillId="0" borderId="227" xfId="0" applyFont="1" applyBorder="1" applyAlignment="1">
      <alignment horizontal="center" vertical="center" wrapText="1"/>
    </xf>
    <xf numFmtId="49" fontId="18" fillId="30" borderId="189" xfId="0" applyNumberFormat="1" applyFont="1" applyFill="1" applyBorder="1" applyAlignment="1">
      <alignment horizontal="center" vertical="top"/>
    </xf>
    <xf numFmtId="49" fontId="18" fillId="30" borderId="224" xfId="0" applyNumberFormat="1" applyFont="1" applyFill="1" applyBorder="1" applyAlignment="1">
      <alignment horizontal="center" vertical="top"/>
    </xf>
    <xf numFmtId="0" fontId="16" fillId="0" borderId="171" xfId="0" applyFont="1" applyBorder="1" applyAlignment="1">
      <alignment horizontal="center" vertical="center" wrapText="1"/>
    </xf>
    <xf numFmtId="0" fontId="16" fillId="0" borderId="59" xfId="0" applyFont="1" applyBorder="1" applyAlignment="1">
      <alignment horizontal="center" vertical="center" wrapText="1"/>
    </xf>
    <xf numFmtId="49" fontId="17" fillId="25" borderId="171" xfId="34" quotePrefix="1" applyNumberFormat="1" applyFont="1" applyFill="1" applyBorder="1" applyAlignment="1">
      <alignment horizontal="center" vertical="top"/>
    </xf>
    <xf numFmtId="49" fontId="17" fillId="25" borderId="130" xfId="34" quotePrefix="1" applyNumberFormat="1" applyFont="1" applyFill="1" applyBorder="1" applyAlignment="1">
      <alignment horizontal="center" vertical="top"/>
    </xf>
    <xf numFmtId="49" fontId="18" fillId="29" borderId="58" xfId="0" applyNumberFormat="1" applyFont="1" applyFill="1" applyBorder="1" applyAlignment="1">
      <alignment horizontal="center" vertical="top"/>
    </xf>
    <xf numFmtId="49" fontId="18" fillId="30" borderId="128" xfId="0" applyNumberFormat="1" applyFont="1" applyFill="1" applyBorder="1" applyAlignment="1">
      <alignment horizontal="center" vertical="top"/>
    </xf>
    <xf numFmtId="49" fontId="18" fillId="29" borderId="32" xfId="0" applyNumberFormat="1" applyFont="1" applyFill="1" applyBorder="1" applyAlignment="1">
      <alignment horizontal="right" vertical="top"/>
    </xf>
    <xf numFmtId="49" fontId="18" fillId="29" borderId="69" xfId="0" applyNumberFormat="1" applyFont="1" applyFill="1" applyBorder="1" applyAlignment="1">
      <alignment horizontal="right" vertical="top"/>
    </xf>
    <xf numFmtId="49" fontId="18" fillId="29" borderId="39" xfId="0" applyNumberFormat="1" applyFont="1" applyFill="1" applyBorder="1" applyAlignment="1">
      <alignment horizontal="right" vertical="top"/>
    </xf>
    <xf numFmtId="49" fontId="17" fillId="25" borderId="137" xfId="34" quotePrefix="1" applyNumberFormat="1" applyFont="1" applyFill="1" applyBorder="1" applyAlignment="1">
      <alignment horizontal="center" vertical="top"/>
    </xf>
    <xf numFmtId="0" fontId="13" fillId="25" borderId="137" xfId="0" applyFont="1" applyFill="1" applyBorder="1" applyAlignment="1">
      <alignment horizontal="left" vertical="top" wrapText="1"/>
    </xf>
    <xf numFmtId="49" fontId="17" fillId="29" borderId="32" xfId="0" applyNumberFormat="1" applyFont="1" applyFill="1" applyBorder="1" applyAlignment="1">
      <alignment horizontal="left" vertical="top"/>
    </xf>
    <xf numFmtId="49" fontId="17" fillId="29" borderId="63" xfId="0" applyNumberFormat="1" applyFont="1" applyFill="1" applyBorder="1" applyAlignment="1">
      <alignment horizontal="left" vertical="top"/>
    </xf>
    <xf numFmtId="49" fontId="17" fillId="29" borderId="54" xfId="0" applyNumberFormat="1" applyFont="1" applyFill="1" applyBorder="1" applyAlignment="1">
      <alignment horizontal="left" vertical="top"/>
    </xf>
    <xf numFmtId="49" fontId="13" fillId="0" borderId="194" xfId="0" applyNumberFormat="1" applyFont="1" applyBorder="1" applyAlignment="1">
      <alignment horizontal="center" vertical="center"/>
    </xf>
    <xf numFmtId="49" fontId="13" fillId="0" borderId="54" xfId="0" applyNumberFormat="1" applyFont="1" applyBorder="1" applyAlignment="1">
      <alignment horizontal="center" vertical="center"/>
    </xf>
    <xf numFmtId="49" fontId="13" fillId="0" borderId="156" xfId="0" applyNumberFormat="1" applyFont="1" applyBorder="1" applyAlignment="1">
      <alignment horizontal="center" vertical="center"/>
    </xf>
    <xf numFmtId="0" fontId="16" fillId="0" borderId="136" xfId="0" applyFont="1" applyBorder="1" applyAlignment="1">
      <alignment horizontal="left" vertical="top" wrapText="1"/>
    </xf>
    <xf numFmtId="0" fontId="16" fillId="0" borderId="138" xfId="0" applyFont="1" applyBorder="1" applyAlignment="1">
      <alignment horizontal="left" vertical="top" wrapText="1"/>
    </xf>
    <xf numFmtId="0" fontId="16" fillId="0" borderId="136" xfId="0" applyFont="1" applyBorder="1" applyAlignment="1">
      <alignment horizontal="center" vertical="center" wrapText="1"/>
    </xf>
    <xf numFmtId="0" fontId="16" fillId="0" borderId="137" xfId="0" applyFont="1" applyBorder="1" applyAlignment="1">
      <alignment horizontal="center" vertical="center" wrapText="1"/>
    </xf>
    <xf numFmtId="49" fontId="13" fillId="0" borderId="32" xfId="0" applyNumberFormat="1" applyFont="1" applyBorder="1" applyAlignment="1">
      <alignment horizontal="center" vertical="center"/>
    </xf>
    <xf numFmtId="49" fontId="13" fillId="0" borderId="33" xfId="0" applyNumberFormat="1" applyFont="1" applyBorder="1" applyAlignment="1">
      <alignment horizontal="center" vertical="center"/>
    </xf>
    <xf numFmtId="0" fontId="13" fillId="0" borderId="70" xfId="0" applyFont="1" applyBorder="1" applyAlignment="1">
      <alignment horizontal="center" vertical="center" wrapText="1"/>
    </xf>
    <xf numFmtId="0" fontId="13" fillId="0" borderId="59" xfId="0" applyFont="1" applyBorder="1" applyAlignment="1">
      <alignment horizontal="center" vertical="center" wrapText="1"/>
    </xf>
    <xf numFmtId="49" fontId="13" fillId="0" borderId="70" xfId="0" applyNumberFormat="1" applyFont="1" applyBorder="1" applyAlignment="1">
      <alignment horizontal="left" vertical="center" wrapText="1"/>
    </xf>
    <xf numFmtId="49" fontId="13" fillId="0" borderId="59" xfId="0" applyNumberFormat="1" applyFont="1" applyBorder="1" applyAlignment="1">
      <alignment horizontal="left" vertical="center" wrapText="1"/>
    </xf>
    <xf numFmtId="49" fontId="17" fillId="30" borderId="70" xfId="0" applyNumberFormat="1" applyFont="1" applyFill="1" applyBorder="1" applyAlignment="1">
      <alignment horizontal="center" vertical="top"/>
    </xf>
    <xf numFmtId="49" fontId="17" fillId="30" borderId="59" xfId="0" applyNumberFormat="1" applyFont="1" applyFill="1" applyBorder="1" applyAlignment="1">
      <alignment horizontal="center" vertical="top"/>
    </xf>
    <xf numFmtId="49" fontId="17" fillId="30" borderId="82" xfId="0" applyNumberFormat="1" applyFont="1" applyFill="1" applyBorder="1" applyAlignment="1">
      <alignment horizontal="center" vertical="top"/>
    </xf>
    <xf numFmtId="49" fontId="16" fillId="25" borderId="70" xfId="0" applyNumberFormat="1" applyFont="1" applyFill="1" applyBorder="1" applyAlignment="1">
      <alignment horizontal="left" vertical="center" wrapText="1"/>
    </xf>
    <xf numFmtId="49" fontId="16" fillId="25" borderId="59" xfId="0" applyNumberFormat="1" applyFont="1" applyFill="1" applyBorder="1" applyAlignment="1">
      <alignment horizontal="left" vertical="center" wrapText="1"/>
    </xf>
    <xf numFmtId="0" fontId="16" fillId="25" borderId="136" xfId="0" applyFont="1" applyFill="1" applyBorder="1" applyAlignment="1">
      <alignment horizontal="center" vertical="center" wrapText="1"/>
    </xf>
    <xf numFmtId="0" fontId="16" fillId="25" borderId="137" xfId="0" applyFont="1" applyFill="1" applyBorder="1" applyAlignment="1">
      <alignment horizontal="center" vertical="center" wrapText="1"/>
    </xf>
    <xf numFmtId="49" fontId="17" fillId="0" borderId="70" xfId="0" applyNumberFormat="1" applyFont="1" applyBorder="1" applyAlignment="1">
      <alignment horizontal="center" vertical="top"/>
    </xf>
    <xf numFmtId="49" fontId="17" fillId="0" borderId="59" xfId="0" applyNumberFormat="1" applyFont="1" applyBorder="1" applyAlignment="1">
      <alignment horizontal="center" vertical="top"/>
    </xf>
    <xf numFmtId="0" fontId="16" fillId="0" borderId="70" xfId="0" applyFont="1" applyBorder="1" applyAlignment="1">
      <alignment horizontal="center" vertical="center" wrapText="1"/>
    </xf>
    <xf numFmtId="0" fontId="16" fillId="0" borderId="49" xfId="0" applyFont="1" applyBorder="1" applyAlignment="1">
      <alignment horizontal="center" vertical="center" wrapText="1"/>
    </xf>
    <xf numFmtId="49" fontId="16" fillId="0" borderId="32" xfId="0" applyNumberFormat="1" applyFont="1" applyBorder="1" applyAlignment="1">
      <alignment horizontal="center" vertical="center"/>
    </xf>
    <xf numFmtId="49" fontId="16" fillId="0" borderId="34" xfId="0" applyNumberFormat="1" applyFont="1" applyBorder="1" applyAlignment="1">
      <alignment horizontal="center" vertical="center"/>
    </xf>
    <xf numFmtId="49" fontId="16" fillId="0" borderId="70" xfId="0" applyNumberFormat="1" applyFont="1" applyBorder="1" applyAlignment="1">
      <alignment horizontal="left" vertical="center" wrapText="1"/>
    </xf>
    <xf numFmtId="49" fontId="16" fillId="0" borderId="49" xfId="0" applyNumberFormat="1" applyFont="1" applyBorder="1" applyAlignment="1">
      <alignment horizontal="left" vertical="center" wrapText="1"/>
    </xf>
    <xf numFmtId="49" fontId="17" fillId="0" borderId="132" xfId="0" applyNumberFormat="1" applyFont="1" applyBorder="1" applyAlignment="1">
      <alignment horizontal="center" vertical="top"/>
    </xf>
    <xf numFmtId="49" fontId="17" fillId="0" borderId="121" xfId="0" applyNumberFormat="1" applyFont="1" applyBorder="1" applyAlignment="1">
      <alignment horizontal="center" vertical="top"/>
    </xf>
    <xf numFmtId="0" fontId="14" fillId="0" borderId="6" xfId="0" applyFont="1" applyBorder="1" applyAlignment="1">
      <alignment horizontal="left" vertical="top" wrapText="1"/>
    </xf>
    <xf numFmtId="0" fontId="16" fillId="0" borderId="6" xfId="0" applyFont="1" applyBorder="1" applyAlignment="1">
      <alignment horizontal="left" vertical="top" wrapText="1"/>
    </xf>
    <xf numFmtId="49" fontId="14" fillId="0" borderId="122" xfId="0" applyNumberFormat="1" applyFont="1" applyBorder="1" applyAlignment="1">
      <alignment horizontal="left" vertical="center" wrapText="1"/>
    </xf>
    <xf numFmtId="49" fontId="16" fillId="0" borderId="0" xfId="0" applyNumberFormat="1" applyFont="1" applyAlignment="1">
      <alignment horizontal="left" vertical="center" wrapText="1"/>
    </xf>
    <xf numFmtId="49" fontId="16" fillId="0" borderId="136" xfId="0" applyNumberFormat="1" applyFont="1" applyBorder="1" applyAlignment="1">
      <alignment horizontal="center" vertical="center"/>
    </xf>
    <xf numFmtId="49" fontId="16" fillId="0" borderId="138" xfId="0" applyNumberFormat="1" applyFont="1" applyBorder="1" applyAlignment="1">
      <alignment horizontal="center" vertical="center"/>
    </xf>
    <xf numFmtId="0" fontId="16" fillId="0" borderId="105" xfId="0" applyFont="1" applyBorder="1" applyAlignment="1">
      <alignment horizontal="left" vertical="center"/>
    </xf>
    <xf numFmtId="0" fontId="16" fillId="0" borderId="54" xfId="0" applyFont="1" applyBorder="1" applyAlignment="1">
      <alignment horizontal="left" vertical="center"/>
    </xf>
    <xf numFmtId="0" fontId="16" fillId="0" borderId="217" xfId="0" applyFont="1" applyBorder="1" applyAlignment="1">
      <alignment horizontal="left" vertical="center"/>
    </xf>
    <xf numFmtId="49" fontId="16" fillId="25" borderId="194" xfId="0" applyNumberFormat="1" applyFont="1" applyFill="1" applyBorder="1" applyAlignment="1">
      <alignment horizontal="left" vertical="center" wrapText="1"/>
    </xf>
    <xf numFmtId="49" fontId="16" fillId="25" borderId="54" xfId="0" applyNumberFormat="1" applyFont="1" applyFill="1" applyBorder="1" applyAlignment="1">
      <alignment horizontal="left" vertical="center" wrapText="1"/>
    </xf>
    <xf numFmtId="49" fontId="18" fillId="29" borderId="124" xfId="0" applyNumberFormat="1" applyFont="1" applyFill="1" applyBorder="1" applyAlignment="1">
      <alignment horizontal="right" vertical="top"/>
    </xf>
    <xf numFmtId="49" fontId="18" fillId="29" borderId="256" xfId="0" applyNumberFormat="1" applyFont="1" applyFill="1" applyBorder="1" applyAlignment="1">
      <alignment horizontal="right" vertical="top"/>
    </xf>
    <xf numFmtId="49" fontId="18" fillId="29" borderId="345" xfId="0" applyNumberFormat="1" applyFont="1" applyFill="1" applyBorder="1" applyAlignment="1">
      <alignment horizontal="right" vertical="top"/>
    </xf>
    <xf numFmtId="0" fontId="16" fillId="0" borderId="32"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105" xfId="0" applyFont="1" applyBorder="1" applyAlignment="1">
      <alignment horizontal="left" vertical="top" wrapText="1"/>
    </xf>
    <xf numFmtId="0" fontId="16" fillId="0" borderId="54" xfId="0" applyFont="1" applyBorder="1" applyAlignment="1">
      <alignment horizontal="left" vertical="top" wrapText="1"/>
    </xf>
    <xf numFmtId="49" fontId="18" fillId="29" borderId="34" xfId="0" applyNumberFormat="1" applyFont="1" applyFill="1" applyBorder="1" applyAlignment="1">
      <alignment horizontal="right" vertical="top"/>
    </xf>
    <xf numFmtId="49" fontId="18" fillId="29" borderId="90" xfId="0" applyNumberFormat="1" applyFont="1" applyFill="1" applyBorder="1" applyAlignment="1">
      <alignment horizontal="right" vertical="top"/>
    </xf>
    <xf numFmtId="49" fontId="18" fillId="29" borderId="61" xfId="0" applyNumberFormat="1" applyFont="1" applyFill="1" applyBorder="1" applyAlignment="1">
      <alignment horizontal="right" vertical="top"/>
    </xf>
    <xf numFmtId="49" fontId="18" fillId="29" borderId="89" xfId="0" applyNumberFormat="1" applyFont="1" applyFill="1" applyBorder="1" applyAlignment="1">
      <alignment horizontal="right" vertical="top"/>
    </xf>
    <xf numFmtId="49" fontId="18" fillId="29" borderId="208" xfId="0" applyNumberFormat="1" applyFont="1" applyFill="1" applyBorder="1" applyAlignment="1">
      <alignment horizontal="center" vertical="top"/>
    </xf>
    <xf numFmtId="49" fontId="18" fillId="29" borderId="129" xfId="0" applyNumberFormat="1" applyFont="1" applyFill="1" applyBorder="1" applyAlignment="1">
      <alignment horizontal="center" vertical="top"/>
    </xf>
    <xf numFmtId="49" fontId="18" fillId="0" borderId="136" xfId="0" applyNumberFormat="1" applyFont="1" applyBorder="1" applyAlignment="1">
      <alignment horizontal="center" vertical="top"/>
    </xf>
    <xf numFmtId="49" fontId="18" fillId="0" borderId="138" xfId="0" applyNumberFormat="1" applyFont="1" applyBorder="1" applyAlignment="1">
      <alignment horizontal="center" vertical="top"/>
    </xf>
    <xf numFmtId="0" fontId="13" fillId="25" borderId="136" xfId="0" applyFont="1" applyFill="1" applyBorder="1" applyAlignment="1">
      <alignment horizontal="left" vertical="top" wrapText="1"/>
    </xf>
    <xf numFmtId="0" fontId="13" fillId="25" borderId="138" xfId="0" applyFont="1" applyFill="1" applyBorder="1" applyAlignment="1">
      <alignment horizontal="left" vertical="top" wrapText="1"/>
    </xf>
    <xf numFmtId="0" fontId="13" fillId="0" borderId="136" xfId="0" applyFont="1" applyBorder="1" applyAlignment="1">
      <alignment horizontal="center" vertical="center" wrapText="1"/>
    </xf>
    <xf numFmtId="0" fontId="13" fillId="0" borderId="138" xfId="0" applyFont="1" applyBorder="1" applyAlignment="1">
      <alignment horizontal="center" vertical="center" wrapText="1"/>
    </xf>
    <xf numFmtId="49" fontId="13" fillId="0" borderId="136" xfId="0" applyNumberFormat="1" applyFont="1" applyBorder="1" applyAlignment="1">
      <alignment horizontal="left" vertical="center" wrapText="1"/>
    </xf>
    <xf numFmtId="49" fontId="13" fillId="0" borderId="138" xfId="0" applyNumberFormat="1" applyFont="1" applyBorder="1" applyAlignment="1">
      <alignment horizontal="left" vertical="center" wrapText="1"/>
    </xf>
    <xf numFmtId="49" fontId="13" fillId="0" borderId="136" xfId="0" applyNumberFormat="1" applyFont="1" applyBorder="1" applyAlignment="1">
      <alignment horizontal="center" vertical="center"/>
    </xf>
    <xf numFmtId="49" fontId="13" fillId="0" borderId="138" xfId="0" applyNumberFormat="1" applyFont="1" applyBorder="1" applyAlignment="1">
      <alignment horizontal="center" vertical="center"/>
    </xf>
    <xf numFmtId="49" fontId="18" fillId="29" borderId="166" xfId="0" applyNumberFormat="1" applyFont="1" applyFill="1" applyBorder="1" applyAlignment="1">
      <alignment horizontal="center" vertical="top"/>
    </xf>
    <xf numFmtId="0" fontId="16" fillId="0" borderId="171" xfId="0" applyFont="1" applyBorder="1" applyAlignment="1">
      <alignment horizontal="left" vertical="center" wrapText="1"/>
    </xf>
    <xf numFmtId="0" fontId="14" fillId="0" borderId="171" xfId="0" applyFont="1" applyBorder="1" applyAlignment="1">
      <alignment horizontal="left" vertical="center" wrapText="1"/>
    </xf>
    <xf numFmtId="0" fontId="16" fillId="0" borderId="333" xfId="0" applyFont="1" applyBorder="1" applyAlignment="1">
      <alignment horizontal="left" vertical="center" wrapText="1"/>
    </xf>
    <xf numFmtId="49" fontId="18" fillId="0" borderId="32" xfId="0" applyNumberFormat="1" applyFont="1" applyBorder="1" applyAlignment="1">
      <alignment horizontal="center" vertical="top"/>
    </xf>
    <xf numFmtId="49" fontId="18" fillId="0" borderId="76" xfId="0" applyNumberFormat="1" applyFont="1" applyBorder="1" applyAlignment="1">
      <alignment horizontal="center" vertical="top"/>
    </xf>
    <xf numFmtId="0" fontId="13" fillId="0" borderId="33" xfId="0" applyFont="1" applyBorder="1" applyAlignment="1">
      <alignment horizontal="left" vertical="top" wrapText="1"/>
    </xf>
    <xf numFmtId="0" fontId="13" fillId="0" borderId="32" xfId="0" applyFont="1" applyBorder="1" applyAlignment="1">
      <alignment horizontal="left" vertical="top" wrapText="1"/>
    </xf>
    <xf numFmtId="49" fontId="18" fillId="0" borderId="58" xfId="0" applyNumberFormat="1" applyFont="1" applyBorder="1" applyAlignment="1">
      <alignment horizontal="center" vertical="top"/>
    </xf>
    <xf numFmtId="0" fontId="13" fillId="25" borderId="70" xfId="0" applyFont="1" applyFill="1" applyBorder="1" applyAlignment="1">
      <alignment horizontal="center" vertical="center" wrapText="1"/>
    </xf>
    <xf numFmtId="0" fontId="13" fillId="25" borderId="58" xfId="0" applyFont="1" applyFill="1" applyBorder="1" applyAlignment="1">
      <alignment horizontal="center" vertical="center" wrapText="1"/>
    </xf>
    <xf numFmtId="0" fontId="14" fillId="0" borderId="59" xfId="0" applyFont="1" applyBorder="1" applyAlignment="1">
      <alignment horizontal="left" vertical="top" wrapText="1"/>
    </xf>
    <xf numFmtId="0" fontId="13" fillId="25" borderId="282" xfId="0" applyFont="1" applyFill="1" applyBorder="1" applyAlignment="1">
      <alignment horizontal="left" vertical="top" wrapText="1"/>
    </xf>
    <xf numFmtId="0" fontId="16" fillId="0" borderId="59" xfId="0" quotePrefix="1" applyFont="1" applyBorder="1" applyAlignment="1">
      <alignment horizontal="center" vertical="center" wrapText="1"/>
    </xf>
    <xf numFmtId="0" fontId="13" fillId="0" borderId="171" xfId="0" applyFont="1" applyBorder="1" applyAlignment="1">
      <alignment horizontal="left" vertical="top" wrapText="1"/>
    </xf>
    <xf numFmtId="0" fontId="13" fillId="0" borderId="70" xfId="0" applyFont="1" applyBorder="1" applyAlignment="1">
      <alignment horizontal="left" vertical="top" wrapText="1"/>
    </xf>
    <xf numFmtId="49" fontId="18" fillId="31" borderId="305" xfId="0" applyNumberFormat="1" applyFont="1" applyFill="1" applyBorder="1" applyAlignment="1">
      <alignment horizontal="right" vertical="top"/>
    </xf>
    <xf numFmtId="49" fontId="18" fillId="31" borderId="306" xfId="0" applyNumberFormat="1" applyFont="1" applyFill="1" applyBorder="1" applyAlignment="1">
      <alignment horizontal="right" vertical="top"/>
    </xf>
    <xf numFmtId="0" fontId="16" fillId="0" borderId="32" xfId="0" quotePrefix="1" applyFont="1" applyBorder="1" applyAlignment="1">
      <alignment horizontal="center" vertical="center"/>
    </xf>
    <xf numFmtId="0" fontId="16" fillId="0" borderId="33" xfId="0" applyFont="1" applyBorder="1" applyAlignment="1">
      <alignment horizontal="center" vertical="center"/>
    </xf>
    <xf numFmtId="0" fontId="16" fillId="0" borderId="49" xfId="0" applyFont="1" applyBorder="1" applyAlignment="1">
      <alignment horizontal="center" vertical="center"/>
    </xf>
    <xf numFmtId="49" fontId="16" fillId="25" borderId="59" xfId="0" applyNumberFormat="1" applyFont="1" applyFill="1" applyBorder="1" applyAlignment="1">
      <alignment horizontal="center" vertical="center"/>
    </xf>
    <xf numFmtId="49" fontId="16" fillId="25" borderId="33" xfId="0" applyNumberFormat="1" applyFont="1" applyFill="1" applyBorder="1" applyAlignment="1">
      <alignment horizontal="center" vertical="center"/>
    </xf>
    <xf numFmtId="49" fontId="17" fillId="25" borderId="132" xfId="0" applyNumberFormat="1" applyFont="1" applyFill="1" applyBorder="1" applyAlignment="1">
      <alignment horizontal="center" vertical="top"/>
    </xf>
    <xf numFmtId="49" fontId="17" fillId="25" borderId="126" xfId="0" applyNumberFormat="1" applyFont="1" applyFill="1" applyBorder="1" applyAlignment="1">
      <alignment horizontal="center" vertical="top"/>
    </xf>
    <xf numFmtId="0" fontId="20" fillId="0" borderId="97" xfId="0" applyFont="1" applyBorder="1" applyAlignment="1">
      <alignment horizontal="center" textRotation="90" wrapText="1"/>
    </xf>
    <xf numFmtId="0" fontId="20" fillId="0" borderId="299" xfId="0" applyFont="1" applyBorder="1" applyAlignment="1">
      <alignment horizontal="center" textRotation="90" wrapText="1"/>
    </xf>
    <xf numFmtId="0" fontId="20" fillId="0" borderId="102" xfId="0" applyFont="1" applyBorder="1" applyAlignment="1">
      <alignment horizontal="center" textRotation="90" wrapText="1"/>
    </xf>
    <xf numFmtId="0" fontId="20" fillId="0" borderId="21" xfId="0" applyFont="1" applyBorder="1" applyAlignment="1">
      <alignment horizontal="center" textRotation="90" wrapText="1"/>
    </xf>
    <xf numFmtId="0" fontId="20" fillId="0" borderId="111"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43" xfId="0" applyFont="1" applyBorder="1" applyAlignment="1">
      <alignment horizontal="center" textRotation="90" wrapText="1"/>
    </xf>
    <xf numFmtId="0" fontId="20" fillId="0" borderId="9" xfId="0" applyFont="1" applyBorder="1" applyAlignment="1">
      <alignment horizontal="center" textRotation="90" wrapText="1"/>
    </xf>
    <xf numFmtId="0" fontId="13" fillId="0" borderId="9" xfId="0" applyFont="1" applyBorder="1" applyAlignment="1">
      <alignment horizontal="center" textRotation="90" wrapText="1"/>
    </xf>
    <xf numFmtId="49" fontId="17" fillId="25" borderId="10" xfId="0" applyNumberFormat="1" applyFont="1" applyFill="1" applyBorder="1" applyAlignment="1">
      <alignment horizontal="center" vertical="top"/>
    </xf>
    <xf numFmtId="0" fontId="13" fillId="25" borderId="127" xfId="0" applyFont="1" applyFill="1" applyBorder="1" applyAlignment="1">
      <alignment horizontal="left" vertical="top" wrapText="1"/>
    </xf>
    <xf numFmtId="0" fontId="16" fillId="25" borderId="33" xfId="0" applyFont="1" applyFill="1" applyBorder="1" applyAlignment="1">
      <alignment horizontal="left" vertical="center" wrapText="1"/>
    </xf>
    <xf numFmtId="49" fontId="14" fillId="25" borderId="59" xfId="0" applyNumberFormat="1" applyFont="1" applyFill="1" applyBorder="1" applyAlignment="1">
      <alignment horizontal="left" vertical="center" wrapText="1"/>
    </xf>
    <xf numFmtId="0" fontId="14" fillId="0" borderId="143" xfId="0" applyFont="1" applyBorder="1" applyAlignment="1">
      <alignment vertical="center" wrapText="1"/>
    </xf>
    <xf numFmtId="0" fontId="14" fillId="0" borderId="150" xfId="0" applyFont="1" applyBorder="1" applyAlignment="1">
      <alignment vertical="center" wrapText="1"/>
    </xf>
    <xf numFmtId="0" fontId="16" fillId="0" borderId="136" xfId="0" quotePrefix="1" applyFont="1" applyBorder="1" applyAlignment="1">
      <alignment horizontal="center" vertical="center" wrapText="1"/>
    </xf>
    <xf numFmtId="0" fontId="16" fillId="0" borderId="214" xfId="0" applyFont="1" applyBorder="1" applyAlignment="1">
      <alignment horizontal="left" vertical="center" wrapText="1"/>
    </xf>
    <xf numFmtId="0" fontId="18" fillId="29" borderId="76" xfId="0" applyFont="1" applyFill="1" applyBorder="1" applyAlignment="1">
      <alignment horizontal="left" vertical="top"/>
    </xf>
    <xf numFmtId="0" fontId="18" fillId="29" borderId="283" xfId="0" applyFont="1" applyFill="1" applyBorder="1" applyAlignment="1">
      <alignment horizontal="left" vertical="top"/>
    </xf>
    <xf numFmtId="0" fontId="18" fillId="29" borderId="284" xfId="0" applyFont="1" applyFill="1" applyBorder="1" applyAlignment="1">
      <alignment horizontal="left" vertical="top"/>
    </xf>
    <xf numFmtId="49" fontId="18" fillId="25" borderId="194" xfId="0" applyNumberFormat="1" applyFont="1" applyFill="1" applyBorder="1" applyAlignment="1">
      <alignment horizontal="center" vertical="top"/>
    </xf>
    <xf numFmtId="49" fontId="18" fillId="25" borderId="105" xfId="0" applyNumberFormat="1" applyFont="1" applyFill="1" applyBorder="1" applyAlignment="1">
      <alignment horizontal="center" vertical="top"/>
    </xf>
    <xf numFmtId="0" fontId="14" fillId="25" borderId="171" xfId="0" applyFont="1" applyFill="1" applyBorder="1" applyAlignment="1">
      <alignment horizontal="left" vertical="top" wrapText="1"/>
    </xf>
    <xf numFmtId="49" fontId="18" fillId="30" borderId="132" xfId="0" applyNumberFormat="1" applyFont="1" applyFill="1" applyBorder="1" applyAlignment="1">
      <alignment horizontal="center" vertical="top"/>
    </xf>
    <xf numFmtId="49" fontId="18" fillId="30" borderId="126" xfId="0" applyNumberFormat="1" applyFont="1" applyFill="1" applyBorder="1" applyAlignment="1">
      <alignment horizontal="center" vertical="top"/>
    </xf>
    <xf numFmtId="49" fontId="13" fillId="0" borderId="204" xfId="0" applyNumberFormat="1" applyFont="1" applyBorder="1" applyAlignment="1">
      <alignment vertical="center" wrapText="1"/>
    </xf>
    <xf numFmtId="49" fontId="13" fillId="0" borderId="326" xfId="0" applyNumberFormat="1" applyFont="1" applyBorder="1" applyAlignment="1">
      <alignment vertical="center" wrapText="1"/>
    </xf>
    <xf numFmtId="49" fontId="13" fillId="0" borderId="188" xfId="0" applyNumberFormat="1" applyFont="1" applyBorder="1" applyAlignment="1">
      <alignment vertical="center" wrapText="1"/>
    </xf>
    <xf numFmtId="49" fontId="17" fillId="25" borderId="123" xfId="34" quotePrefix="1" applyNumberFormat="1" applyFont="1" applyFill="1" applyBorder="1" applyAlignment="1">
      <alignment horizontal="center" vertical="top"/>
    </xf>
    <xf numFmtId="49" fontId="17" fillId="25" borderId="126" xfId="34" quotePrefix="1" applyNumberFormat="1" applyFont="1" applyFill="1" applyBorder="1" applyAlignment="1">
      <alignment horizontal="center" vertical="top"/>
    </xf>
    <xf numFmtId="0" fontId="13" fillId="25" borderId="0" xfId="0" applyFont="1" applyFill="1" applyAlignment="1">
      <alignment horizontal="left" vertical="top" wrapText="1"/>
    </xf>
    <xf numFmtId="0" fontId="16" fillId="0" borderId="138" xfId="0" applyFont="1" applyBorder="1" applyAlignment="1">
      <alignment horizontal="center" vertical="center" wrapText="1"/>
    </xf>
    <xf numFmtId="49" fontId="17" fillId="25" borderId="59" xfId="34" applyNumberFormat="1" applyFont="1" applyFill="1" applyBorder="1" applyAlignment="1">
      <alignment horizontal="center" vertical="top"/>
    </xf>
    <xf numFmtId="0" fontId="13" fillId="0" borderId="59" xfId="0" applyFont="1" applyBorder="1" applyAlignment="1">
      <alignment horizontal="left" vertical="top" wrapText="1"/>
    </xf>
    <xf numFmtId="0" fontId="13" fillId="0" borderId="123" xfId="0" applyFont="1" applyBorder="1" applyAlignment="1">
      <alignment horizontal="left" vertical="top" wrapText="1"/>
    </xf>
    <xf numFmtId="49" fontId="17" fillId="30" borderId="189" xfId="0" applyNumberFormat="1" applyFont="1" applyFill="1" applyBorder="1" applyAlignment="1">
      <alignment horizontal="center" vertical="top"/>
    </xf>
    <xf numFmtId="49" fontId="17" fillId="30" borderId="172" xfId="0" applyNumberFormat="1" applyFont="1" applyFill="1" applyBorder="1" applyAlignment="1">
      <alignment horizontal="center" vertical="top"/>
    </xf>
    <xf numFmtId="49" fontId="17" fillId="29" borderId="130" xfId="0" applyNumberFormat="1" applyFont="1" applyFill="1" applyBorder="1" applyAlignment="1">
      <alignment horizontal="center" vertical="top"/>
    </xf>
    <xf numFmtId="49" fontId="13" fillId="0" borderId="166" xfId="0" applyNumberFormat="1" applyFont="1" applyBorder="1" applyAlignment="1">
      <alignment vertical="center"/>
    </xf>
    <xf numFmtId="49" fontId="13" fillId="0" borderId="163" xfId="0" applyNumberFormat="1" applyFont="1" applyBorder="1" applyAlignment="1">
      <alignment vertical="center"/>
    </xf>
    <xf numFmtId="0" fontId="16" fillId="25" borderId="162" xfId="0" applyFont="1" applyFill="1" applyBorder="1" applyAlignment="1">
      <alignment horizontal="center" vertical="center" wrapText="1"/>
    </xf>
    <xf numFmtId="0" fontId="16" fillId="25" borderId="166" xfId="0" applyFont="1" applyFill="1" applyBorder="1" applyAlignment="1">
      <alignment horizontal="center" vertical="center" wrapText="1"/>
    </xf>
    <xf numFmtId="0" fontId="16" fillId="25" borderId="163" xfId="0" applyFont="1" applyFill="1" applyBorder="1" applyAlignment="1">
      <alignment horizontal="center" vertical="center" wrapText="1"/>
    </xf>
    <xf numFmtId="0" fontId="16" fillId="25" borderId="132" xfId="0" applyFont="1" applyFill="1" applyBorder="1" applyAlignment="1">
      <alignment horizontal="left" vertical="center" wrapText="1"/>
    </xf>
    <xf numFmtId="0" fontId="16" fillId="25" borderId="126" xfId="0" applyFont="1" applyFill="1" applyBorder="1" applyAlignment="1">
      <alignment horizontal="left" vertical="center" wrapText="1"/>
    </xf>
    <xf numFmtId="0" fontId="16" fillId="25" borderId="181" xfId="0" applyFont="1" applyFill="1" applyBorder="1" applyAlignment="1">
      <alignment horizontal="left" vertical="center" wrapText="1"/>
    </xf>
    <xf numFmtId="49" fontId="18" fillId="29" borderId="162" xfId="0" applyNumberFormat="1" applyFont="1" applyFill="1" applyBorder="1" applyAlignment="1">
      <alignment horizontal="center" vertical="top"/>
    </xf>
    <xf numFmtId="0" fontId="16" fillId="25" borderId="126" xfId="0" applyFont="1" applyFill="1" applyBorder="1" applyAlignment="1">
      <alignment horizontal="center" vertical="center" wrapText="1"/>
    </xf>
    <xf numFmtId="0" fontId="16" fillId="25" borderId="122" xfId="0" applyFont="1" applyFill="1" applyBorder="1" applyAlignment="1">
      <alignment horizontal="center" vertical="center" wrapText="1"/>
    </xf>
    <xf numFmtId="0" fontId="16" fillId="25" borderId="0" xfId="0" applyFont="1" applyFill="1" applyAlignment="1">
      <alignment horizontal="center" vertical="center" wrapText="1"/>
    </xf>
    <xf numFmtId="49" fontId="17" fillId="25" borderId="138" xfId="0" applyNumberFormat="1" applyFont="1" applyFill="1" applyBorder="1" applyAlignment="1">
      <alignment horizontal="center" vertical="top"/>
    </xf>
    <xf numFmtId="49" fontId="16" fillId="25" borderId="136" xfId="0" applyNumberFormat="1" applyFont="1" applyFill="1" applyBorder="1" applyAlignment="1">
      <alignment horizontal="left" vertical="top" wrapText="1"/>
    </xf>
    <xf numFmtId="49" fontId="16" fillId="25" borderId="138" xfId="0" applyNumberFormat="1" applyFont="1" applyFill="1" applyBorder="1" applyAlignment="1">
      <alignment horizontal="left" vertical="top" wrapText="1"/>
    </xf>
    <xf numFmtId="49" fontId="16" fillId="25" borderId="136" xfId="0" applyNumberFormat="1" applyFont="1" applyFill="1" applyBorder="1" applyAlignment="1">
      <alignment horizontal="center" vertical="center"/>
    </xf>
    <xf numFmtId="49" fontId="16" fillId="25" borderId="137" xfId="0" applyNumberFormat="1" applyFont="1" applyFill="1" applyBorder="1" applyAlignment="1">
      <alignment horizontal="center" vertical="center"/>
    </xf>
    <xf numFmtId="49" fontId="16" fillId="25" borderId="138" xfId="0" applyNumberFormat="1" applyFont="1" applyFill="1" applyBorder="1" applyAlignment="1">
      <alignment horizontal="center" vertical="center"/>
    </xf>
    <xf numFmtId="49" fontId="16" fillId="25" borderId="136" xfId="0" applyNumberFormat="1" applyFont="1" applyFill="1" applyBorder="1" applyAlignment="1">
      <alignment horizontal="left" vertical="center" wrapText="1"/>
    </xf>
    <xf numFmtId="49" fontId="16" fillId="25" borderId="137" xfId="0" applyNumberFormat="1" applyFont="1" applyFill="1" applyBorder="1" applyAlignment="1">
      <alignment horizontal="left" vertical="center" wrapText="1"/>
    </xf>
    <xf numFmtId="49" fontId="16" fillId="25" borderId="138" xfId="0" applyNumberFormat="1" applyFont="1" applyFill="1" applyBorder="1" applyAlignment="1">
      <alignment horizontal="left" vertical="center" wrapText="1"/>
    </xf>
    <xf numFmtId="49" fontId="16" fillId="25" borderId="136" xfId="0" applyNumberFormat="1" applyFont="1" applyFill="1" applyBorder="1" applyAlignment="1">
      <alignment horizontal="left" vertical="center"/>
    </xf>
    <xf numFmtId="49" fontId="16" fillId="25" borderId="137" xfId="0" applyNumberFormat="1" applyFont="1" applyFill="1" applyBorder="1" applyAlignment="1">
      <alignment horizontal="left" vertical="center"/>
    </xf>
    <xf numFmtId="49" fontId="16" fillId="25" borderId="138" xfId="0" applyNumberFormat="1" applyFont="1" applyFill="1" applyBorder="1" applyAlignment="1">
      <alignment horizontal="left" vertical="center"/>
    </xf>
    <xf numFmtId="0" fontId="16" fillId="0" borderId="34" xfId="0" applyFont="1" applyBorder="1" applyAlignment="1">
      <alignment horizontal="center" vertical="center" wrapText="1"/>
    </xf>
    <xf numFmtId="49" fontId="13" fillId="0" borderId="0" xfId="0" applyNumberFormat="1" applyFont="1" applyAlignment="1">
      <alignment horizontal="center" vertical="center"/>
    </xf>
    <xf numFmtId="165" fontId="13" fillId="0" borderId="429" xfId="35" applyNumberFormat="1" applyFont="1" applyBorder="1" applyAlignment="1">
      <alignment horizontal="left" vertical="center" wrapText="1"/>
    </xf>
    <xf numFmtId="165" fontId="13" fillId="0" borderId="35" xfId="35" applyNumberFormat="1" applyFont="1" applyBorder="1" applyAlignment="1">
      <alignment horizontal="left" vertical="center" wrapText="1"/>
    </xf>
    <xf numFmtId="0" fontId="13" fillId="25" borderId="188" xfId="0" applyFont="1" applyFill="1" applyBorder="1" applyAlignment="1">
      <alignment horizontal="center" vertical="center"/>
    </xf>
    <xf numFmtId="0" fontId="13" fillId="25" borderId="204" xfId="0" applyFont="1" applyFill="1" applyBorder="1" applyAlignment="1">
      <alignment horizontal="center" vertical="center"/>
    </xf>
    <xf numFmtId="49" fontId="18" fillId="30" borderId="32" xfId="0" applyNumberFormat="1" applyFont="1" applyFill="1" applyBorder="1" applyAlignment="1">
      <alignment horizontal="left" vertical="top"/>
    </xf>
    <xf numFmtId="49" fontId="18" fillId="30" borderId="63" xfId="0" applyNumberFormat="1" applyFont="1" applyFill="1" applyBorder="1" applyAlignment="1">
      <alignment horizontal="left" vertical="top"/>
    </xf>
    <xf numFmtId="49" fontId="18" fillId="30" borderId="105" xfId="0" applyNumberFormat="1" applyFont="1" applyFill="1" applyBorder="1" applyAlignment="1">
      <alignment horizontal="left" vertical="top"/>
    </xf>
    <xf numFmtId="49" fontId="17" fillId="30" borderId="127" xfId="0" applyNumberFormat="1" applyFont="1" applyFill="1" applyBorder="1" applyAlignment="1">
      <alignment horizontal="center" vertical="top"/>
    </xf>
    <xf numFmtId="49" fontId="17" fillId="30" borderId="128" xfId="0" applyNumberFormat="1" applyFont="1" applyFill="1" applyBorder="1" applyAlignment="1">
      <alignment horizontal="center" vertical="top"/>
    </xf>
    <xf numFmtId="0" fontId="38" fillId="0" borderId="218" xfId="0" applyFont="1" applyBorder="1" applyAlignment="1">
      <alignment horizontal="left" vertical="top" wrapText="1"/>
    </xf>
    <xf numFmtId="0" fontId="38" fillId="0" borderId="5" xfId="0" applyFont="1" applyBorder="1" applyAlignment="1">
      <alignment horizontal="left" vertical="top" wrapText="1"/>
    </xf>
    <xf numFmtId="0" fontId="38" fillId="0" borderId="6" xfId="0" applyFont="1" applyBorder="1" applyAlignment="1">
      <alignment horizontal="left" vertical="top" wrapText="1"/>
    </xf>
    <xf numFmtId="0" fontId="38" fillId="0" borderId="17" xfId="0" applyFont="1" applyBorder="1" applyAlignment="1">
      <alignment horizontal="left" vertical="top" wrapText="1"/>
    </xf>
    <xf numFmtId="0" fontId="14" fillId="25" borderId="132" xfId="0" applyFont="1" applyFill="1" applyBorder="1" applyAlignment="1">
      <alignment horizontal="left" vertical="center" wrapText="1"/>
    </xf>
    <xf numFmtId="0" fontId="14" fillId="25" borderId="126" xfId="0" applyFont="1" applyFill="1" applyBorder="1" applyAlignment="1">
      <alignment horizontal="left" vertical="center" wrapText="1"/>
    </xf>
    <xf numFmtId="0" fontId="16" fillId="25" borderId="354" xfId="0" applyFont="1" applyFill="1" applyBorder="1" applyAlignment="1">
      <alignment horizontal="center" vertical="center" wrapText="1"/>
    </xf>
    <xf numFmtId="0" fontId="16" fillId="25" borderId="138" xfId="0" applyFont="1" applyFill="1" applyBorder="1" applyAlignment="1">
      <alignment horizontal="center" vertical="center" wrapText="1"/>
    </xf>
    <xf numFmtId="0" fontId="16" fillId="25" borderId="136" xfId="0" applyFont="1" applyFill="1" applyBorder="1" applyAlignment="1">
      <alignment horizontal="left" vertical="top" wrapText="1"/>
    </xf>
    <xf numFmtId="0" fontId="16" fillId="25" borderId="137" xfId="0" applyFont="1" applyFill="1" applyBorder="1" applyAlignment="1">
      <alignment horizontal="left" vertical="top" wrapText="1"/>
    </xf>
    <xf numFmtId="0" fontId="16" fillId="25" borderId="138" xfId="0" applyFont="1" applyFill="1" applyBorder="1" applyAlignment="1">
      <alignment horizontal="left" vertical="top" wrapText="1"/>
    </xf>
    <xf numFmtId="0" fontId="16" fillId="0" borderId="122" xfId="0" applyFont="1" applyBorder="1" applyAlignment="1">
      <alignment horizontal="left" vertical="center" wrapText="1"/>
    </xf>
    <xf numFmtId="0" fontId="16" fillId="0" borderId="0" xfId="0" applyFont="1" applyAlignment="1">
      <alignment horizontal="left" vertical="center" wrapText="1"/>
    </xf>
    <xf numFmtId="0" fontId="16" fillId="0" borderId="156" xfId="0" applyFont="1" applyBorder="1" applyAlignment="1">
      <alignment horizontal="left" vertical="center" wrapText="1"/>
    </xf>
    <xf numFmtId="0" fontId="16" fillId="0" borderId="121" xfId="0" applyFont="1" applyBorder="1" applyAlignment="1">
      <alignment horizontal="center" vertical="center" wrapText="1"/>
    </xf>
    <xf numFmtId="0" fontId="14" fillId="0" borderId="150" xfId="0" applyFont="1" applyBorder="1" applyAlignment="1">
      <alignment horizontal="left" vertical="center" wrapText="1"/>
    </xf>
    <xf numFmtId="0" fontId="14" fillId="0" borderId="137" xfId="0" applyFont="1" applyBorder="1" applyAlignment="1">
      <alignment horizontal="left" vertical="center" wrapText="1"/>
    </xf>
    <xf numFmtId="0" fontId="39" fillId="0" borderId="136" xfId="0" applyFont="1" applyBorder="1" applyAlignment="1">
      <alignment horizontal="left" vertical="center" wrapText="1"/>
    </xf>
    <xf numFmtId="0" fontId="39" fillId="0" borderId="137" xfId="0" applyFont="1" applyBorder="1" applyAlignment="1">
      <alignment horizontal="left" vertical="center" wrapText="1"/>
    </xf>
    <xf numFmtId="0" fontId="39" fillId="0" borderId="138" xfId="0" applyFont="1" applyBorder="1" applyAlignment="1">
      <alignment horizontal="left" vertical="center" wrapText="1"/>
    </xf>
    <xf numFmtId="49" fontId="39" fillId="25" borderId="132" xfId="0" quotePrefix="1" applyNumberFormat="1" applyFont="1" applyFill="1" applyBorder="1" applyAlignment="1">
      <alignment horizontal="center" vertical="center" wrapText="1"/>
    </xf>
    <xf numFmtId="49" fontId="39" fillId="25" borderId="126" xfId="0" quotePrefix="1" applyNumberFormat="1" applyFont="1" applyFill="1" applyBorder="1" applyAlignment="1">
      <alignment horizontal="center" vertical="center" wrapText="1"/>
    </xf>
    <xf numFmtId="49" fontId="39" fillId="25" borderId="138" xfId="0" quotePrefix="1" applyNumberFormat="1" applyFont="1" applyFill="1" applyBorder="1" applyAlignment="1">
      <alignment horizontal="center" vertical="center" wrapText="1"/>
    </xf>
    <xf numFmtId="49" fontId="16" fillId="25" borderId="137" xfId="0" quotePrefix="1" applyNumberFormat="1" applyFont="1" applyFill="1" applyBorder="1" applyAlignment="1">
      <alignment horizontal="center" vertical="center" wrapText="1"/>
    </xf>
    <xf numFmtId="49" fontId="16" fillId="25" borderId="137" xfId="0" applyNumberFormat="1" applyFont="1" applyFill="1" applyBorder="1" applyAlignment="1">
      <alignment horizontal="center" vertical="center" wrapText="1"/>
    </xf>
    <xf numFmtId="0" fontId="13" fillId="25" borderId="162" xfId="0" applyFont="1" applyFill="1" applyBorder="1" applyAlignment="1">
      <alignment horizontal="left" vertical="top" wrapText="1"/>
    </xf>
    <xf numFmtId="0" fontId="13" fillId="25" borderId="166" xfId="0" applyFont="1" applyFill="1" applyBorder="1" applyAlignment="1">
      <alignment horizontal="left" vertical="top" wrapText="1"/>
    </xf>
    <xf numFmtId="0" fontId="13" fillId="25" borderId="163" xfId="0" applyFont="1" applyFill="1" applyBorder="1" applyAlignment="1">
      <alignment horizontal="left" vertical="top" wrapText="1"/>
    </xf>
    <xf numFmtId="0" fontId="13" fillId="25" borderId="132" xfId="0" applyFont="1" applyFill="1" applyBorder="1" applyAlignment="1">
      <alignment horizontal="left" vertical="top" wrapText="1"/>
    </xf>
    <xf numFmtId="0" fontId="13" fillId="25" borderId="126" xfId="0" applyFont="1" applyFill="1" applyBorder="1" applyAlignment="1">
      <alignment horizontal="left" vertical="top" wrapText="1"/>
    </xf>
    <xf numFmtId="0" fontId="13" fillId="0" borderId="204" xfId="0" applyFont="1" applyBorder="1" applyAlignment="1">
      <alignment vertical="center" wrapText="1"/>
    </xf>
    <xf numFmtId="0" fontId="13" fillId="0" borderId="262" xfId="0" applyFont="1" applyBorder="1" applyAlignment="1">
      <alignment vertical="center" wrapText="1"/>
    </xf>
    <xf numFmtId="0" fontId="16" fillId="0" borderId="181" xfId="0" applyFont="1" applyBorder="1" applyAlignment="1">
      <alignment horizontal="left" vertical="center" wrapText="1"/>
    </xf>
    <xf numFmtId="0" fontId="16" fillId="0" borderId="121" xfId="0" applyFont="1" applyBorder="1" applyAlignment="1">
      <alignment horizontal="left" vertical="center" wrapText="1"/>
    </xf>
    <xf numFmtId="49" fontId="17" fillId="29" borderId="138" xfId="0" applyNumberFormat="1" applyFont="1" applyFill="1" applyBorder="1" applyAlignment="1">
      <alignment horizontal="right" vertical="center"/>
    </xf>
    <xf numFmtId="49" fontId="17" fillId="29" borderId="156" xfId="0" applyNumberFormat="1" applyFont="1" applyFill="1" applyBorder="1" applyAlignment="1">
      <alignment horizontal="right" vertical="center"/>
    </xf>
    <xf numFmtId="49" fontId="16" fillId="0" borderId="70" xfId="0" quotePrefix="1" applyNumberFormat="1" applyFont="1" applyBorder="1" applyAlignment="1">
      <alignment horizontal="center" vertical="center"/>
    </xf>
    <xf numFmtId="0" fontId="16" fillId="25" borderId="139" xfId="0" applyFont="1" applyFill="1" applyBorder="1" applyAlignment="1">
      <alignment horizontal="left" vertical="center" wrapText="1"/>
    </xf>
    <xf numFmtId="0" fontId="14" fillId="0" borderId="155" xfId="0" applyFont="1" applyBorder="1" applyAlignment="1">
      <alignment horizontal="left" vertical="center" wrapText="1"/>
    </xf>
    <xf numFmtId="0" fontId="14" fillId="0" borderId="156" xfId="0" applyFont="1" applyBorder="1" applyAlignment="1">
      <alignment horizontal="left" vertical="center" wrapText="1"/>
    </xf>
    <xf numFmtId="165" fontId="13" fillId="39" borderId="392" xfId="35" applyNumberFormat="1" applyFont="1" applyFill="1" applyBorder="1" applyAlignment="1">
      <alignment horizontal="left" vertical="center" wrapText="1"/>
    </xf>
    <xf numFmtId="165" fontId="13" fillId="39" borderId="123" xfId="35" applyNumberFormat="1" applyFont="1" applyFill="1" applyBorder="1" applyAlignment="1">
      <alignment horizontal="left" vertical="center" wrapText="1"/>
    </xf>
    <xf numFmtId="2" fontId="13" fillId="25" borderId="70" xfId="0" applyNumberFormat="1" applyFont="1" applyFill="1" applyBorder="1" applyAlignment="1">
      <alignment horizontal="center" vertical="center"/>
    </xf>
    <xf numFmtId="2" fontId="13" fillId="25" borderId="49" xfId="0" applyNumberFormat="1" applyFont="1" applyFill="1" applyBorder="1" applyAlignment="1">
      <alignment horizontal="center" vertical="center"/>
    </xf>
    <xf numFmtId="49" fontId="16" fillId="25" borderId="132" xfId="0" applyNumberFormat="1" applyFont="1" applyFill="1" applyBorder="1" applyAlignment="1">
      <alignment horizontal="center" vertical="center"/>
    </xf>
    <xf numFmtId="49" fontId="16" fillId="25" borderId="121" xfId="0" applyNumberFormat="1" applyFont="1" applyFill="1" applyBorder="1" applyAlignment="1">
      <alignment horizontal="center" vertical="center"/>
    </xf>
    <xf numFmtId="49" fontId="17" fillId="42" borderId="156" xfId="0" applyNumberFormat="1" applyFont="1" applyFill="1" applyBorder="1" applyAlignment="1">
      <alignment horizontal="center" vertical="top"/>
    </xf>
    <xf numFmtId="49" fontId="17" fillId="25" borderId="136" xfId="34" quotePrefix="1" applyNumberFormat="1" applyFont="1" applyFill="1" applyBorder="1" applyAlignment="1">
      <alignment horizontal="center" vertical="top"/>
    </xf>
    <xf numFmtId="49" fontId="17" fillId="25" borderId="138" xfId="34" quotePrefix="1" applyNumberFormat="1" applyFont="1" applyFill="1" applyBorder="1" applyAlignment="1">
      <alignment horizontal="center" vertical="top"/>
    </xf>
    <xf numFmtId="0" fontId="16" fillId="25" borderId="427" xfId="0" applyFont="1" applyFill="1" applyBorder="1" applyAlignment="1">
      <alignment horizontal="left" vertical="center" wrapText="1"/>
    </xf>
    <xf numFmtId="0" fontId="16" fillId="25" borderId="54" xfId="0" applyFont="1" applyFill="1" applyBorder="1" applyAlignment="1">
      <alignment horizontal="left" vertical="center" wrapText="1"/>
    </xf>
    <xf numFmtId="0" fontId="13" fillId="25" borderId="49" xfId="0" applyFont="1" applyFill="1" applyBorder="1" applyAlignment="1">
      <alignment horizontal="center" vertical="center"/>
    </xf>
    <xf numFmtId="2" fontId="13" fillId="25" borderId="132" xfId="0" applyNumberFormat="1" applyFont="1" applyFill="1" applyBorder="1" applyAlignment="1">
      <alignment horizontal="center" vertical="center"/>
    </xf>
    <xf numFmtId="2" fontId="13" fillId="25" borderId="181" xfId="0" applyNumberFormat="1" applyFont="1" applyFill="1" applyBorder="1" applyAlignment="1">
      <alignment horizontal="center" vertical="center"/>
    </xf>
    <xf numFmtId="2" fontId="13" fillId="25" borderId="139" xfId="0" applyNumberFormat="1" applyFont="1" applyFill="1" applyBorder="1" applyAlignment="1">
      <alignment horizontal="center" vertical="center"/>
    </xf>
    <xf numFmtId="2" fontId="13" fillId="25" borderId="150" xfId="0" applyNumberFormat="1" applyFont="1" applyFill="1" applyBorder="1" applyAlignment="1">
      <alignment horizontal="center" vertical="center"/>
    </xf>
    <xf numFmtId="2" fontId="13" fillId="25" borderId="184" xfId="0" applyNumberFormat="1" applyFont="1" applyFill="1" applyBorder="1" applyAlignment="1">
      <alignment horizontal="center" vertical="center"/>
    </xf>
    <xf numFmtId="2" fontId="13" fillId="25" borderId="136" xfId="0" applyNumberFormat="1" applyFont="1" applyFill="1" applyBorder="1" applyAlignment="1">
      <alignment horizontal="center" vertical="center"/>
    </xf>
    <xf numFmtId="0" fontId="13" fillId="25" borderId="59" xfId="0" applyFont="1" applyFill="1" applyBorder="1" applyAlignment="1">
      <alignment horizontal="center" vertical="center"/>
    </xf>
    <xf numFmtId="2" fontId="13" fillId="25" borderId="59" xfId="0" applyNumberFormat="1" applyFont="1" applyFill="1" applyBorder="1" applyAlignment="1">
      <alignment horizontal="center" vertical="center"/>
    </xf>
    <xf numFmtId="2" fontId="13" fillId="25" borderId="81" xfId="0" applyNumberFormat="1" applyFont="1" applyFill="1" applyBorder="1" applyAlignment="1">
      <alignment horizontal="center" vertical="center"/>
    </xf>
    <xf numFmtId="49" fontId="16" fillId="25" borderId="49" xfId="0" applyNumberFormat="1" applyFont="1" applyFill="1" applyBorder="1" applyAlignment="1">
      <alignment horizontal="left" vertical="center" wrapText="1"/>
    </xf>
    <xf numFmtId="165" fontId="13" fillId="0" borderId="59" xfId="35" applyNumberFormat="1" applyFont="1" applyBorder="1" applyAlignment="1">
      <alignment horizontal="left" vertical="center" wrapText="1"/>
    </xf>
    <xf numFmtId="165" fontId="13" fillId="0" borderId="123" xfId="35" applyNumberFormat="1" applyFont="1" applyBorder="1" applyAlignment="1">
      <alignment horizontal="left" vertical="center" wrapText="1"/>
    </xf>
    <xf numFmtId="0" fontId="14" fillId="0" borderId="186" xfId="0" applyFont="1" applyBorder="1" applyAlignment="1">
      <alignment horizontal="left" vertical="center" wrapText="1"/>
    </xf>
    <xf numFmtId="165" fontId="13" fillId="0" borderId="372" xfId="35" applyNumberFormat="1" applyFont="1" applyBorder="1" applyAlignment="1">
      <alignment horizontal="left" vertical="center" wrapText="1"/>
    </xf>
    <xf numFmtId="165" fontId="13" fillId="0" borderId="428" xfId="35" applyNumberFormat="1" applyFont="1" applyBorder="1" applyAlignment="1">
      <alignment horizontal="left" vertical="center" wrapText="1"/>
    </xf>
    <xf numFmtId="0" fontId="14" fillId="0" borderId="419" xfId="0" applyFont="1" applyBorder="1" applyAlignment="1">
      <alignment horizontal="center" vertical="center" wrapText="1"/>
    </xf>
    <xf numFmtId="0" fontId="14" fillId="0" borderId="80" xfId="0" applyFont="1" applyBorder="1" applyAlignment="1">
      <alignment horizontal="center" vertical="center" wrapText="1"/>
    </xf>
    <xf numFmtId="49" fontId="18" fillId="0" borderId="49" xfId="0" applyNumberFormat="1" applyFont="1" applyBorder="1" applyAlignment="1">
      <alignment horizontal="center" vertical="top"/>
    </xf>
    <xf numFmtId="0" fontId="13" fillId="0" borderId="49" xfId="0" applyFont="1" applyBorder="1" applyAlignment="1">
      <alignment horizontal="left" vertical="top" wrapText="1"/>
    </xf>
    <xf numFmtId="0" fontId="13" fillId="0" borderId="49" xfId="0" applyFont="1" applyBorder="1" applyAlignment="1">
      <alignment horizontal="center" vertical="center" wrapText="1"/>
    </xf>
    <xf numFmtId="0" fontId="13" fillId="25" borderId="49" xfId="0" applyFont="1" applyFill="1" applyBorder="1" applyAlignment="1">
      <alignment horizontal="center" vertical="center" wrapText="1"/>
    </xf>
    <xf numFmtId="0" fontId="14" fillId="0" borderId="143" xfId="0" applyFont="1" applyBorder="1" applyAlignment="1">
      <alignment horizontal="left" vertical="top" wrapText="1"/>
    </xf>
    <xf numFmtId="0" fontId="14" fillId="0" borderId="150" xfId="0" applyFont="1" applyBorder="1" applyAlignment="1">
      <alignment horizontal="left" vertical="top" wrapText="1"/>
    </xf>
    <xf numFmtId="0" fontId="14" fillId="0" borderId="144" xfId="0" applyFont="1" applyBorder="1" applyAlignment="1">
      <alignment horizontal="left" vertical="top" wrapText="1"/>
    </xf>
    <xf numFmtId="49" fontId="14" fillId="0" borderId="195" xfId="0" applyNumberFormat="1" applyFont="1" applyBorder="1" applyAlignment="1">
      <alignment horizontal="left" vertical="top" wrapText="1"/>
    </xf>
    <xf numFmtId="49" fontId="14" fillId="0" borderId="34" xfId="0" applyNumberFormat="1" applyFont="1" applyBorder="1" applyAlignment="1">
      <alignment horizontal="left" vertical="top" wrapText="1"/>
    </xf>
    <xf numFmtId="49" fontId="14" fillId="0" borderId="126" xfId="0" applyNumberFormat="1" applyFont="1" applyBorder="1" applyAlignment="1">
      <alignment horizontal="left" vertical="top"/>
    </xf>
    <xf numFmtId="49" fontId="14" fillId="0" borderId="121" xfId="0" applyNumberFormat="1" applyFont="1" applyBorder="1" applyAlignment="1">
      <alignment horizontal="left" vertical="top"/>
    </xf>
    <xf numFmtId="49" fontId="18" fillId="30" borderId="57" xfId="0" applyNumberFormat="1" applyFont="1" applyFill="1" applyBorder="1" applyAlignment="1">
      <alignment horizontal="center" vertical="top"/>
    </xf>
    <xf numFmtId="0" fontId="13" fillId="0" borderId="137" xfId="0" applyFont="1" applyBorder="1" applyAlignment="1">
      <alignment horizontal="left" vertical="top" wrapText="1"/>
    </xf>
    <xf numFmtId="49" fontId="18" fillId="30" borderId="171" xfId="0" quotePrefix="1" applyNumberFormat="1" applyFont="1" applyFill="1" applyBorder="1" applyAlignment="1">
      <alignment horizontal="center" vertical="top"/>
    </xf>
    <xf numFmtId="49" fontId="18" fillId="30" borderId="59" xfId="0" quotePrefix="1" applyNumberFormat="1" applyFont="1" applyFill="1" applyBorder="1" applyAlignment="1">
      <alignment horizontal="center" vertical="top"/>
    </xf>
    <xf numFmtId="49" fontId="18" fillId="30" borderId="208" xfId="0" quotePrefix="1" applyNumberFormat="1" applyFont="1" applyFill="1" applyBorder="1" applyAlignment="1">
      <alignment horizontal="center" vertical="top"/>
    </xf>
    <xf numFmtId="49" fontId="18" fillId="30" borderId="129" xfId="0" quotePrefix="1" applyNumberFormat="1" applyFont="1" applyFill="1" applyBorder="1" applyAlignment="1">
      <alignment horizontal="center" vertical="top"/>
    </xf>
    <xf numFmtId="49" fontId="18" fillId="29" borderId="136" xfId="0" applyNumberFormat="1" applyFont="1" applyFill="1" applyBorder="1" applyAlignment="1">
      <alignment horizontal="center" vertical="top"/>
    </xf>
    <xf numFmtId="49" fontId="18" fillId="29" borderId="138" xfId="0" applyNumberFormat="1" applyFont="1" applyFill="1" applyBorder="1" applyAlignment="1">
      <alignment horizontal="center" vertical="top"/>
    </xf>
    <xf numFmtId="0" fontId="13" fillId="0" borderId="132" xfId="0" applyFont="1" applyBorder="1" applyAlignment="1">
      <alignment horizontal="center" vertical="center" wrapText="1"/>
    </xf>
    <xf numFmtId="0" fontId="13" fillId="0" borderId="121" xfId="0" applyFont="1" applyBorder="1" applyAlignment="1">
      <alignment horizontal="center" vertical="center" wrapText="1"/>
    </xf>
    <xf numFmtId="0" fontId="13" fillId="0" borderId="136" xfId="0" applyFont="1" applyBorder="1" applyAlignment="1">
      <alignment vertical="center" wrapText="1"/>
    </xf>
    <xf numFmtId="0" fontId="13" fillId="0" borderId="138" xfId="0" applyFont="1" applyBorder="1" applyAlignment="1">
      <alignment vertical="center" wrapText="1"/>
    </xf>
    <xf numFmtId="49" fontId="13" fillId="0" borderId="136" xfId="0" applyNumberFormat="1" applyFont="1" applyBorder="1" applyAlignment="1">
      <alignment vertical="center" wrapText="1"/>
    </xf>
    <xf numFmtId="49" fontId="13" fillId="0" borderId="138" xfId="0" applyNumberFormat="1" applyFont="1" applyBorder="1" applyAlignment="1">
      <alignment vertical="center" wrapText="1"/>
    </xf>
    <xf numFmtId="49" fontId="13" fillId="0" borderId="132" xfId="0" applyNumberFormat="1" applyFont="1" applyBorder="1" applyAlignment="1">
      <alignment horizontal="center" vertical="center"/>
    </xf>
    <xf numFmtId="0" fontId="13" fillId="25" borderId="39" xfId="0" applyFont="1" applyFill="1" applyBorder="1" applyAlignment="1">
      <alignment horizontal="center" textRotation="90" wrapText="1"/>
    </xf>
    <xf numFmtId="0" fontId="13" fillId="25" borderId="61" xfId="0" applyFont="1" applyFill="1" applyBorder="1" applyAlignment="1">
      <alignment horizontal="center" textRotation="90" wrapText="1"/>
    </xf>
    <xf numFmtId="0" fontId="13" fillId="0" borderId="70" xfId="0" applyFont="1" applyBorder="1" applyAlignment="1">
      <alignment horizontal="center" vertical="top" wrapText="1"/>
    </xf>
    <xf numFmtId="0" fontId="13" fillId="0" borderId="59" xfId="0" applyFont="1" applyBorder="1" applyAlignment="1">
      <alignment horizontal="center" vertical="top" wrapText="1"/>
    </xf>
    <xf numFmtId="0" fontId="13" fillId="0" borderId="49" xfId="0" applyFont="1" applyBorder="1" applyAlignment="1">
      <alignment horizontal="center" vertical="top" wrapText="1"/>
    </xf>
    <xf numFmtId="166" fontId="13" fillId="0" borderId="136" xfId="0" applyNumberFormat="1" applyFont="1" applyBorder="1" applyAlignment="1">
      <alignment horizontal="left" vertical="top" wrapText="1"/>
    </xf>
    <xf numFmtId="166" fontId="13" fillId="0" borderId="138" xfId="0" applyNumberFormat="1" applyFont="1" applyBorder="1" applyAlignment="1">
      <alignment horizontal="left" vertical="top" wrapText="1"/>
    </xf>
    <xf numFmtId="165" fontId="18" fillId="29" borderId="76" xfId="0" applyNumberFormat="1" applyFont="1" applyFill="1" applyBorder="1" applyAlignment="1">
      <alignment horizontal="left" vertical="top" wrapText="1"/>
    </xf>
    <xf numFmtId="165" fontId="18" fillId="29" borderId="77" xfId="0" applyNumberFormat="1" applyFont="1" applyFill="1" applyBorder="1" applyAlignment="1">
      <alignment horizontal="left" vertical="top" wrapText="1"/>
    </xf>
    <xf numFmtId="165" fontId="18" fillId="29" borderId="63" xfId="0" applyNumberFormat="1" applyFont="1" applyFill="1" applyBorder="1" applyAlignment="1">
      <alignment horizontal="left" vertical="top" wrapText="1"/>
    </xf>
    <xf numFmtId="165" fontId="18" fillId="29" borderId="54" xfId="0" applyNumberFormat="1" applyFont="1" applyFill="1" applyBorder="1" applyAlignment="1">
      <alignment horizontal="left" vertical="top" wrapText="1"/>
    </xf>
    <xf numFmtId="0" fontId="13" fillId="0" borderId="381" xfId="0" applyFont="1" applyBorder="1" applyAlignment="1">
      <alignment horizontal="center" textRotation="90" wrapText="1"/>
    </xf>
    <xf numFmtId="0" fontId="13" fillId="0" borderId="55" xfId="0" applyFont="1" applyBorder="1" applyAlignment="1">
      <alignment horizontal="center" textRotation="90" wrapText="1"/>
    </xf>
    <xf numFmtId="49" fontId="13" fillId="0" borderId="70" xfId="0" quotePrefix="1" applyNumberFormat="1" applyFont="1" applyBorder="1" applyAlignment="1">
      <alignment horizontal="center" vertical="center" wrapText="1"/>
    </xf>
    <xf numFmtId="49" fontId="13" fillId="0" borderId="59" xfId="0" applyNumberFormat="1" applyFont="1" applyBorder="1" applyAlignment="1">
      <alignment horizontal="center" vertical="center" wrapText="1"/>
    </xf>
    <xf numFmtId="49" fontId="13" fillId="0" borderId="49" xfId="0" applyNumberFormat="1" applyFont="1" applyBorder="1" applyAlignment="1">
      <alignment horizontal="center" vertical="center" wrapText="1"/>
    </xf>
    <xf numFmtId="49" fontId="13" fillId="0" borderId="136" xfId="0" applyNumberFormat="1" applyFont="1" applyBorder="1" applyAlignment="1">
      <alignment horizontal="center" vertical="center" wrapText="1"/>
    </xf>
    <xf numFmtId="49" fontId="13" fillId="0" borderId="137" xfId="0" applyNumberFormat="1" applyFont="1" applyBorder="1" applyAlignment="1">
      <alignment horizontal="center" vertical="center" wrapText="1"/>
    </xf>
    <xf numFmtId="49" fontId="13" fillId="0" borderId="138" xfId="0" applyNumberFormat="1" applyFont="1" applyBorder="1" applyAlignment="1">
      <alignment horizontal="center" vertical="center" wrapText="1"/>
    </xf>
    <xf numFmtId="49" fontId="13" fillId="0" borderId="49" xfId="0" applyNumberFormat="1" applyFont="1" applyBorder="1" applyAlignment="1">
      <alignment horizontal="left" vertical="center" wrapText="1"/>
    </xf>
    <xf numFmtId="49" fontId="18" fillId="0" borderId="218" xfId="0" applyNumberFormat="1" applyFont="1" applyBorder="1" applyAlignment="1">
      <alignment horizontal="center" vertical="top"/>
    </xf>
    <xf numFmtId="49" fontId="18" fillId="0" borderId="5" xfId="0" applyNumberFormat="1" applyFont="1" applyBorder="1" applyAlignment="1">
      <alignment horizontal="center" vertical="top"/>
    </xf>
    <xf numFmtId="49" fontId="18" fillId="0" borderId="6" xfId="0" applyNumberFormat="1" applyFont="1" applyBorder="1" applyAlignment="1">
      <alignment horizontal="center" vertical="top"/>
    </xf>
    <xf numFmtId="49" fontId="18" fillId="0" borderId="17" xfId="0" applyNumberFormat="1" applyFont="1" applyBorder="1" applyAlignment="1">
      <alignment horizontal="center" vertical="top"/>
    </xf>
    <xf numFmtId="0" fontId="13" fillId="0" borderId="196" xfId="0" applyFont="1" applyBorder="1" applyAlignment="1">
      <alignment horizontal="left" vertical="top" wrapText="1"/>
    </xf>
    <xf numFmtId="0" fontId="13" fillId="0" borderId="436" xfId="0" applyFont="1" applyBorder="1" applyAlignment="1">
      <alignment horizontal="left" vertical="top" wrapText="1"/>
    </xf>
    <xf numFmtId="0" fontId="29" fillId="0" borderId="197" xfId="0" applyFont="1" applyBorder="1" applyAlignment="1">
      <alignment horizontal="left" vertical="top" wrapText="1"/>
    </xf>
    <xf numFmtId="0" fontId="29" fillId="0" borderId="220" xfId="0" applyFont="1" applyBorder="1" applyAlignment="1">
      <alignment horizontal="left" vertical="top" wrapText="1"/>
    </xf>
    <xf numFmtId="0" fontId="13" fillId="0" borderId="105" xfId="0" applyFont="1" applyBorder="1" applyAlignment="1">
      <alignment horizontal="center" vertical="top" wrapText="1"/>
    </xf>
    <xf numFmtId="0" fontId="13" fillId="0" borderId="54" xfId="0" applyFont="1" applyBorder="1" applyAlignment="1">
      <alignment horizontal="center" vertical="top" wrapText="1"/>
    </xf>
    <xf numFmtId="2" fontId="14" fillId="0" borderId="70" xfId="0" applyNumberFormat="1" applyFont="1" applyBorder="1" applyAlignment="1">
      <alignment horizontal="left" vertical="center" wrapText="1"/>
    </xf>
    <xf numFmtId="2" fontId="14" fillId="0" borderId="59" xfId="0" applyNumberFormat="1" applyFont="1" applyBorder="1" applyAlignment="1">
      <alignment horizontal="left" vertical="center" wrapText="1"/>
    </xf>
    <xf numFmtId="2" fontId="14" fillId="0" borderId="81" xfId="0" applyNumberFormat="1" applyFont="1" applyBorder="1" applyAlignment="1">
      <alignment horizontal="left" vertical="center" wrapText="1"/>
    </xf>
    <xf numFmtId="49" fontId="18" fillId="30" borderId="33" xfId="0" quotePrefix="1" applyNumberFormat="1" applyFont="1" applyFill="1" applyBorder="1" applyAlignment="1">
      <alignment horizontal="center" vertical="top"/>
    </xf>
    <xf numFmtId="49" fontId="18" fillId="29" borderId="137" xfId="0" applyNumberFormat="1" applyFont="1" applyFill="1" applyBorder="1" applyAlignment="1">
      <alignment horizontal="center" vertical="top"/>
    </xf>
    <xf numFmtId="49" fontId="18" fillId="0" borderId="137" xfId="0" applyNumberFormat="1" applyFont="1" applyBorder="1" applyAlignment="1">
      <alignment horizontal="center" vertical="top"/>
    </xf>
    <xf numFmtId="49" fontId="18" fillId="29" borderId="0" xfId="0" applyNumberFormat="1" applyFont="1" applyFill="1" applyAlignment="1">
      <alignment horizontal="right" vertical="top"/>
    </xf>
    <xf numFmtId="49" fontId="18" fillId="29" borderId="28" xfId="0" applyNumberFormat="1" applyFont="1" applyFill="1" applyBorder="1" applyAlignment="1">
      <alignment horizontal="right" vertical="top"/>
    </xf>
    <xf numFmtId="49" fontId="18" fillId="29" borderId="48" xfId="0" applyNumberFormat="1" applyFont="1" applyFill="1" applyBorder="1" applyAlignment="1">
      <alignment horizontal="right" vertical="top"/>
    </xf>
    <xf numFmtId="49" fontId="13" fillId="0" borderId="137" xfId="0" applyNumberFormat="1" applyFont="1" applyBorder="1" applyAlignment="1">
      <alignment horizontal="center" vertical="center"/>
    </xf>
    <xf numFmtId="0" fontId="18" fillId="0" borderId="59" xfId="0" applyFont="1" applyBorder="1" applyAlignment="1">
      <alignment horizontal="center" vertical="center" wrapText="1"/>
    </xf>
    <xf numFmtId="0" fontId="18" fillId="0" borderId="49" xfId="0" applyFont="1" applyBorder="1" applyAlignment="1">
      <alignment horizontal="center" vertical="center" wrapText="1"/>
    </xf>
    <xf numFmtId="0" fontId="13" fillId="0" borderId="32" xfId="0" applyFont="1" applyBorder="1" applyAlignment="1">
      <alignment vertical="center" wrapText="1"/>
    </xf>
    <xf numFmtId="0" fontId="13" fillId="0" borderId="33" xfId="0" applyFont="1" applyBorder="1" applyAlignment="1">
      <alignment vertical="center" wrapText="1"/>
    </xf>
    <xf numFmtId="49" fontId="18" fillId="0" borderId="33" xfId="0" applyNumberFormat="1" applyFont="1" applyBorder="1" applyAlignment="1">
      <alignment horizontal="center" vertical="top"/>
    </xf>
    <xf numFmtId="0" fontId="13" fillId="0" borderId="136" xfId="0" applyFont="1" applyBorder="1" applyAlignment="1">
      <alignment horizontal="left" vertical="top" wrapText="1"/>
    </xf>
    <xf numFmtId="49" fontId="28" fillId="0" borderId="54" xfId="0" quotePrefix="1" applyNumberFormat="1" applyFont="1" applyBorder="1" applyAlignment="1">
      <alignment horizontal="center" vertical="top"/>
    </xf>
    <xf numFmtId="49" fontId="13" fillId="0" borderId="0" xfId="0" applyNumberFormat="1" applyFont="1" applyAlignment="1">
      <alignment horizontal="center" vertical="top"/>
    </xf>
    <xf numFmtId="49" fontId="13" fillId="0" borderId="59" xfId="0" applyNumberFormat="1" applyFont="1" applyBorder="1" applyAlignment="1">
      <alignment horizontal="center" vertical="center"/>
    </xf>
    <xf numFmtId="0" fontId="13" fillId="0" borderId="70" xfId="0" applyFont="1" applyBorder="1" applyAlignment="1">
      <alignment horizontal="left" vertical="center" wrapText="1"/>
    </xf>
    <xf numFmtId="0" fontId="13" fillId="0" borderId="59" xfId="0" applyFont="1" applyBorder="1" applyAlignment="1">
      <alignment horizontal="left" vertical="center" wrapText="1"/>
    </xf>
    <xf numFmtId="0" fontId="13" fillId="0" borderId="49" xfId="0" applyFont="1" applyBorder="1" applyAlignment="1">
      <alignment horizontal="left" vertical="center" wrapText="1"/>
    </xf>
    <xf numFmtId="0" fontId="13" fillId="0" borderId="126" xfId="0" applyFont="1" applyBorder="1" applyAlignment="1">
      <alignment horizontal="center" vertical="center" wrapText="1"/>
    </xf>
    <xf numFmtId="49" fontId="18" fillId="30" borderId="76" xfId="0" applyNumberFormat="1" applyFont="1" applyFill="1" applyBorder="1" applyAlignment="1">
      <alignment horizontal="left" vertical="top" wrapText="1"/>
    </xf>
    <xf numFmtId="49" fontId="18" fillId="30" borderId="63" xfId="0" applyNumberFormat="1" applyFont="1" applyFill="1" applyBorder="1" applyAlignment="1">
      <alignment horizontal="left" vertical="top" wrapText="1"/>
    </xf>
    <xf numFmtId="49" fontId="18" fillId="30" borderId="105" xfId="0" applyNumberFormat="1" applyFont="1" applyFill="1" applyBorder="1" applyAlignment="1">
      <alignment horizontal="left" vertical="top" wrapText="1"/>
    </xf>
    <xf numFmtId="0" fontId="13" fillId="0" borderId="132" xfId="0" applyFont="1" applyBorder="1" applyAlignment="1">
      <alignment vertical="center" wrapText="1"/>
    </xf>
    <xf numFmtId="0" fontId="13" fillId="0" borderId="126" xfId="0" applyFont="1" applyBorder="1" applyAlignment="1">
      <alignment vertical="center" wrapText="1"/>
    </xf>
    <xf numFmtId="0" fontId="13" fillId="0" borderId="121" xfId="0" applyFont="1" applyBorder="1" applyAlignment="1">
      <alignment vertical="center" wrapText="1"/>
    </xf>
    <xf numFmtId="49" fontId="13" fillId="0" borderId="137" xfId="0" applyNumberFormat="1" applyFont="1" applyBorder="1" applyAlignment="1">
      <alignment vertical="center" wrapText="1"/>
    </xf>
    <xf numFmtId="49" fontId="13" fillId="0" borderId="132" xfId="0" quotePrefix="1" applyNumberFormat="1" applyFont="1" applyBorder="1" applyAlignment="1">
      <alignment horizontal="center" vertical="center"/>
    </xf>
    <xf numFmtId="49" fontId="18" fillId="29" borderId="26" xfId="0" applyNumberFormat="1" applyFont="1" applyFill="1" applyBorder="1" applyAlignment="1">
      <alignment horizontal="center" vertical="top"/>
    </xf>
    <xf numFmtId="0" fontId="13" fillId="0" borderId="137" xfId="0" applyFont="1" applyBorder="1" applyAlignment="1">
      <alignment vertical="center" wrapText="1"/>
    </xf>
    <xf numFmtId="49" fontId="18" fillId="29" borderId="70" xfId="0" quotePrefix="1" applyNumberFormat="1" applyFont="1" applyFill="1" applyBorder="1" applyAlignment="1">
      <alignment horizontal="center" vertical="top"/>
    </xf>
    <xf numFmtId="2" fontId="18" fillId="29" borderId="0" xfId="0" applyNumberFormat="1" applyFont="1" applyFill="1" applyAlignment="1">
      <alignment horizontal="right" vertical="top"/>
    </xf>
    <xf numFmtId="2" fontId="18" fillId="29" borderId="28" xfId="0" applyNumberFormat="1" applyFont="1" applyFill="1" applyBorder="1" applyAlignment="1">
      <alignment horizontal="right" vertical="top"/>
    </xf>
    <xf numFmtId="2" fontId="18" fillId="29" borderId="7" xfId="0" applyNumberFormat="1" applyFont="1" applyFill="1" applyBorder="1" applyAlignment="1">
      <alignment horizontal="center" vertical="top"/>
    </xf>
    <xf numFmtId="2" fontId="18" fillId="0" borderId="7" xfId="0" applyNumberFormat="1" applyFont="1" applyBorder="1" applyAlignment="1">
      <alignment horizontal="center" vertical="top"/>
    </xf>
    <xf numFmtId="2" fontId="14" fillId="25" borderId="26" xfId="0" applyNumberFormat="1" applyFont="1" applyFill="1" applyBorder="1" applyAlignment="1">
      <alignment horizontal="left" vertical="top" wrapText="1"/>
    </xf>
    <xf numFmtId="2" fontId="13" fillId="25" borderId="26" xfId="0" applyNumberFormat="1" applyFont="1" applyFill="1" applyBorder="1" applyAlignment="1">
      <alignment horizontal="left" vertical="top" wrapText="1"/>
    </xf>
    <xf numFmtId="49" fontId="13" fillId="0" borderId="70" xfId="0" quotePrefix="1" applyNumberFormat="1" applyFont="1" applyBorder="1" applyAlignment="1">
      <alignment horizontal="center" vertical="center"/>
    </xf>
    <xf numFmtId="0" fontId="13" fillId="0" borderId="279" xfId="0" applyFont="1" applyBorder="1" applyAlignment="1">
      <alignment vertical="center" wrapText="1"/>
    </xf>
    <xf numFmtId="0" fontId="13" fillId="0" borderId="280" xfId="0" applyFont="1" applyBorder="1" applyAlignment="1">
      <alignment vertical="center" wrapText="1"/>
    </xf>
    <xf numFmtId="49" fontId="13" fillId="0" borderId="279" xfId="0" applyNumberFormat="1" applyFont="1" applyBorder="1" applyAlignment="1">
      <alignment vertical="center" wrapText="1"/>
    </xf>
    <xf numFmtId="49" fontId="13" fillId="0" borderId="280" xfId="0" applyNumberFormat="1" applyFont="1" applyBorder="1" applyAlignment="1">
      <alignment vertical="center" wrapText="1"/>
    </xf>
    <xf numFmtId="2" fontId="18" fillId="30" borderId="33" xfId="0" applyNumberFormat="1" applyFont="1" applyFill="1" applyBorder="1" applyAlignment="1">
      <alignment horizontal="left" vertical="top" wrapText="1"/>
    </xf>
    <xf numFmtId="2" fontId="18" fillId="30" borderId="0" xfId="0" applyNumberFormat="1" applyFont="1" applyFill="1" applyAlignment="1">
      <alignment horizontal="left" vertical="top" wrapText="1"/>
    </xf>
    <xf numFmtId="2" fontId="18" fillId="30" borderId="54" xfId="0" applyNumberFormat="1" applyFont="1" applyFill="1" applyBorder="1" applyAlignment="1">
      <alignment horizontal="left" vertical="top" wrapText="1"/>
    </xf>
    <xf numFmtId="2" fontId="18" fillId="29" borderId="76" xfId="0" applyNumberFormat="1" applyFont="1" applyFill="1" applyBorder="1" applyAlignment="1">
      <alignment horizontal="left" vertical="top" wrapText="1"/>
    </xf>
    <xf numFmtId="2" fontId="18" fillId="29" borderId="77" xfId="0" applyNumberFormat="1" applyFont="1" applyFill="1" applyBorder="1" applyAlignment="1">
      <alignment horizontal="left" vertical="top" wrapText="1"/>
    </xf>
    <xf numFmtId="2" fontId="18" fillId="29" borderId="65" xfId="0" applyNumberFormat="1" applyFont="1" applyFill="1" applyBorder="1" applyAlignment="1">
      <alignment horizontal="left" vertical="top" wrapText="1"/>
    </xf>
    <xf numFmtId="2" fontId="14" fillId="26" borderId="70" xfId="0" applyNumberFormat="1" applyFont="1" applyFill="1" applyBorder="1" applyAlignment="1">
      <alignment horizontal="center" vertical="center"/>
    </xf>
    <xf numFmtId="2" fontId="14" fillId="26" borderId="123" xfId="0" applyNumberFormat="1" applyFont="1" applyFill="1" applyBorder="1" applyAlignment="1">
      <alignment horizontal="center" vertical="center"/>
    </xf>
    <xf numFmtId="2" fontId="18" fillId="29" borderId="136" xfId="0" applyNumberFormat="1" applyFont="1" applyFill="1" applyBorder="1" applyAlignment="1">
      <alignment horizontal="center" vertical="top"/>
    </xf>
    <xf numFmtId="2" fontId="18" fillId="29" borderId="137" xfId="0" applyNumberFormat="1" applyFont="1" applyFill="1" applyBorder="1" applyAlignment="1">
      <alignment horizontal="center" vertical="top"/>
    </xf>
    <xf numFmtId="2" fontId="18" fillId="29" borderId="138" xfId="0" applyNumberFormat="1" applyFont="1" applyFill="1" applyBorder="1" applyAlignment="1">
      <alignment horizontal="center" vertical="top"/>
    </xf>
    <xf numFmtId="2" fontId="18" fillId="0" borderId="132" xfId="0" applyNumberFormat="1" applyFont="1" applyBorder="1" applyAlignment="1">
      <alignment horizontal="center" vertical="top"/>
    </xf>
    <xf numFmtId="2" fontId="18" fillId="0" borderId="126" xfId="0" applyNumberFormat="1" applyFont="1" applyBorder="1" applyAlignment="1">
      <alignment horizontal="center" vertical="top"/>
    </xf>
    <xf numFmtId="2" fontId="18" fillId="0" borderId="121" xfId="0" applyNumberFormat="1" applyFont="1" applyBorder="1" applyAlignment="1">
      <alignment horizontal="center" vertical="top"/>
    </xf>
    <xf numFmtId="2" fontId="16" fillId="0" borderId="122" xfId="0" applyNumberFormat="1" applyFont="1" applyBorder="1" applyAlignment="1">
      <alignment horizontal="left" vertical="top" wrapText="1"/>
    </xf>
    <xf numFmtId="2" fontId="16" fillId="0" borderId="0" xfId="0" applyNumberFormat="1" applyFont="1" applyAlignment="1">
      <alignment horizontal="left" vertical="top" wrapText="1"/>
    </xf>
    <xf numFmtId="2" fontId="16" fillId="0" borderId="156" xfId="0" applyNumberFormat="1" applyFont="1" applyBorder="1" applyAlignment="1">
      <alignment horizontal="left" vertical="top" wrapText="1"/>
    </xf>
    <xf numFmtId="2" fontId="13" fillId="0" borderId="126" xfId="0" applyNumberFormat="1" applyFont="1" applyBorder="1" applyAlignment="1">
      <alignment horizontal="center" vertical="center" wrapText="1"/>
    </xf>
    <xf numFmtId="2" fontId="13" fillId="0" borderId="121" xfId="0" applyNumberFormat="1" applyFont="1" applyBorder="1" applyAlignment="1">
      <alignment horizontal="center" vertical="center" wrapText="1"/>
    </xf>
    <xf numFmtId="2" fontId="13" fillId="0" borderId="137" xfId="0" applyNumberFormat="1" applyFont="1" applyBorder="1" applyAlignment="1">
      <alignment vertical="center" wrapText="1"/>
    </xf>
    <xf numFmtId="2" fontId="13" fillId="0" borderId="184" xfId="0" applyNumberFormat="1" applyFont="1" applyBorder="1" applyAlignment="1">
      <alignment vertical="center" wrapText="1"/>
    </xf>
    <xf numFmtId="2" fontId="13" fillId="0" borderId="70" xfId="0" applyNumberFormat="1" applyFont="1" applyBorder="1" applyAlignment="1">
      <alignment horizontal="left" vertical="center" wrapText="1"/>
    </xf>
    <xf numFmtId="2" fontId="13" fillId="0" borderId="59" xfId="0" applyNumberFormat="1" applyFont="1" applyBorder="1" applyAlignment="1">
      <alignment horizontal="left" vertical="center" wrapText="1"/>
    </xf>
    <xf numFmtId="2" fontId="13" fillId="0" borderId="49" xfId="0" applyNumberFormat="1" applyFont="1" applyBorder="1" applyAlignment="1">
      <alignment horizontal="left" vertical="center" wrapText="1"/>
    </xf>
    <xf numFmtId="2" fontId="13" fillId="0" borderId="70" xfId="0" applyNumberFormat="1" applyFont="1" applyBorder="1" applyAlignment="1">
      <alignment horizontal="center" vertical="top" wrapText="1"/>
    </xf>
    <xf numFmtId="2" fontId="13" fillId="0" borderId="59" xfId="0" applyNumberFormat="1" applyFont="1" applyBorder="1" applyAlignment="1">
      <alignment horizontal="center" vertical="top" wrapText="1"/>
    </xf>
    <xf numFmtId="2" fontId="13" fillId="0" borderId="49" xfId="0" applyNumberFormat="1" applyFont="1" applyBorder="1" applyAlignment="1">
      <alignment horizontal="center" vertical="top" wrapText="1"/>
    </xf>
    <xf numFmtId="2" fontId="13" fillId="25" borderId="70" xfId="0" applyNumberFormat="1" applyFont="1" applyFill="1" applyBorder="1" applyAlignment="1">
      <alignment horizontal="left" vertical="center" wrapText="1"/>
    </xf>
    <xf numFmtId="2" fontId="13" fillId="25" borderId="49" xfId="0" applyNumberFormat="1" applyFont="1" applyFill="1" applyBorder="1" applyAlignment="1">
      <alignment horizontal="left" vertical="center" wrapText="1"/>
    </xf>
    <xf numFmtId="2" fontId="18" fillId="25" borderId="7" xfId="0" applyNumberFormat="1" applyFont="1" applyFill="1" applyBorder="1" applyAlignment="1">
      <alignment horizontal="center" vertical="top"/>
    </xf>
    <xf numFmtId="49" fontId="18" fillId="29" borderId="7" xfId="0" applyNumberFormat="1" applyFont="1" applyFill="1" applyBorder="1" applyAlignment="1">
      <alignment horizontal="center" vertical="top"/>
    </xf>
    <xf numFmtId="49" fontId="18" fillId="0" borderId="7" xfId="0" applyNumberFormat="1" applyFont="1" applyBorder="1" applyAlignment="1">
      <alignment horizontal="center" vertical="top"/>
    </xf>
    <xf numFmtId="49" fontId="13" fillId="0" borderId="34" xfId="0" quotePrefix="1" applyNumberFormat="1" applyFont="1" applyBorder="1" applyAlignment="1">
      <alignment horizontal="center" vertical="center" wrapText="1"/>
    </xf>
    <xf numFmtId="0" fontId="13" fillId="0" borderId="70" xfId="0" applyFont="1" applyBorder="1" applyAlignment="1">
      <alignment vertical="center" wrapText="1"/>
    </xf>
    <xf numFmtId="0" fontId="13" fillId="0" borderId="49" xfId="0" applyFont="1" applyBorder="1" applyAlignment="1">
      <alignment vertical="center" wrapText="1"/>
    </xf>
    <xf numFmtId="49" fontId="13" fillId="25" borderId="105" xfId="0" applyNumberFormat="1" applyFont="1" applyFill="1" applyBorder="1" applyAlignment="1">
      <alignment horizontal="left" vertical="center" wrapText="1"/>
    </xf>
    <xf numFmtId="49" fontId="13" fillId="25" borderId="54" xfId="0" applyNumberFormat="1" applyFont="1" applyFill="1" applyBorder="1" applyAlignment="1">
      <alignment horizontal="left" vertical="center" wrapText="1"/>
    </xf>
    <xf numFmtId="49" fontId="13" fillId="25" borderId="86" xfId="0" applyNumberFormat="1" applyFont="1" applyFill="1" applyBorder="1" applyAlignment="1">
      <alignment horizontal="left" vertical="center" wrapText="1"/>
    </xf>
    <xf numFmtId="49" fontId="18" fillId="0" borderId="7" xfId="0" quotePrefix="1" applyNumberFormat="1" applyFont="1" applyBorder="1" applyAlignment="1">
      <alignment horizontal="center" vertical="top"/>
    </xf>
    <xf numFmtId="49" fontId="13" fillId="0" borderId="70" xfId="0" quotePrefix="1" applyNumberFormat="1" applyFont="1" applyBorder="1" applyAlignment="1">
      <alignment horizontal="left" vertical="center" wrapText="1"/>
    </xf>
    <xf numFmtId="49" fontId="13" fillId="0" borderId="49" xfId="0" quotePrefix="1" applyNumberFormat="1" applyFont="1" applyBorder="1" applyAlignment="1">
      <alignment horizontal="left" vertical="center" wrapText="1"/>
    </xf>
    <xf numFmtId="0" fontId="13" fillId="0" borderId="136" xfId="0" applyFont="1" applyBorder="1" applyAlignment="1">
      <alignment horizontal="left" vertical="center" wrapText="1"/>
    </xf>
    <xf numFmtId="0" fontId="13" fillId="0" borderId="137" xfId="0" applyFont="1" applyBorder="1" applyAlignment="1">
      <alignment horizontal="left" vertical="center" wrapText="1"/>
    </xf>
    <xf numFmtId="0" fontId="13" fillId="0" borderId="138" xfId="0" applyFont="1" applyBorder="1" applyAlignment="1">
      <alignment horizontal="left" vertical="center" wrapText="1"/>
    </xf>
    <xf numFmtId="0" fontId="14" fillId="0" borderId="95" xfId="0" applyFont="1" applyBorder="1" applyAlignment="1">
      <alignment horizontal="left" vertical="top" wrapText="1"/>
    </xf>
    <xf numFmtId="0" fontId="13" fillId="0" borderId="26" xfId="0" applyFont="1" applyBorder="1" applyAlignment="1">
      <alignment horizontal="left" vertical="top" wrapText="1"/>
    </xf>
    <xf numFmtId="0" fontId="13" fillId="0" borderId="8" xfId="0" applyFont="1" applyBorder="1" applyAlignment="1">
      <alignment horizontal="left" vertical="top" wrapText="1"/>
    </xf>
    <xf numFmtId="49" fontId="18" fillId="29" borderId="64" xfId="0" applyNumberFormat="1" applyFont="1" applyFill="1" applyBorder="1" applyAlignment="1">
      <alignment horizontal="right" vertical="top"/>
    </xf>
    <xf numFmtId="49" fontId="18" fillId="29" borderId="86" xfId="0" applyNumberFormat="1" applyFont="1" applyFill="1" applyBorder="1" applyAlignment="1">
      <alignment horizontal="right" vertical="top"/>
    </xf>
    <xf numFmtId="49" fontId="18" fillId="29" borderId="7" xfId="0" quotePrefix="1" applyNumberFormat="1" applyFont="1" applyFill="1" applyBorder="1" applyAlignment="1">
      <alignment horizontal="center" vertical="top"/>
    </xf>
    <xf numFmtId="49" fontId="18" fillId="29" borderId="9" xfId="0" applyNumberFormat="1" applyFont="1" applyFill="1" applyBorder="1" applyAlignment="1">
      <alignment horizontal="center" vertical="top"/>
    </xf>
    <xf numFmtId="49" fontId="18" fillId="29" borderId="196" xfId="0" applyNumberFormat="1" applyFont="1" applyFill="1" applyBorder="1" applyAlignment="1">
      <alignment horizontal="center" vertical="top"/>
    </xf>
    <xf numFmtId="49" fontId="18" fillId="29" borderId="436" xfId="0" applyNumberFormat="1" applyFont="1" applyFill="1" applyBorder="1" applyAlignment="1">
      <alignment horizontal="center" vertical="top"/>
    </xf>
    <xf numFmtId="49" fontId="18" fillId="29" borderId="197" xfId="0" applyNumberFormat="1" applyFont="1" applyFill="1" applyBorder="1" applyAlignment="1">
      <alignment horizontal="center" vertical="top"/>
    </xf>
    <xf numFmtId="49" fontId="18" fillId="29" borderId="220" xfId="0" applyNumberFormat="1" applyFont="1" applyFill="1" applyBorder="1" applyAlignment="1">
      <alignment horizontal="center" vertical="top"/>
    </xf>
    <xf numFmtId="0" fontId="13" fillId="0" borderId="137" xfId="0" applyFont="1" applyBorder="1" applyAlignment="1">
      <alignment horizontal="center" vertical="center" wrapText="1"/>
    </xf>
    <xf numFmtId="49" fontId="18" fillId="0" borderId="26" xfId="0" quotePrefix="1" applyNumberFormat="1" applyFont="1" applyBorder="1" applyAlignment="1">
      <alignment horizontal="center" vertical="top"/>
    </xf>
    <xf numFmtId="49" fontId="18" fillId="0" borderId="8" xfId="0" applyNumberFormat="1" applyFont="1" applyBorder="1" applyAlignment="1">
      <alignment horizontal="center" vertical="top"/>
    </xf>
    <xf numFmtId="0" fontId="13" fillId="0" borderId="39" xfId="0" applyFont="1" applyBorder="1" applyAlignment="1">
      <alignment horizontal="left" vertical="top" wrapText="1"/>
    </xf>
    <xf numFmtId="0" fontId="13" fillId="0" borderId="79" xfId="0" applyFont="1" applyBorder="1" applyAlignment="1">
      <alignment horizontal="left" vertical="top" wrapText="1"/>
    </xf>
    <xf numFmtId="49" fontId="18" fillId="0" borderId="11" xfId="0" applyNumberFormat="1" applyFont="1" applyBorder="1" applyAlignment="1">
      <alignment horizontal="center" vertical="top"/>
    </xf>
    <xf numFmtId="49" fontId="18" fillId="29" borderId="43" xfId="0" applyNumberFormat="1" applyFont="1" applyFill="1" applyBorder="1" applyAlignment="1">
      <alignment horizontal="center" vertical="top"/>
    </xf>
    <xf numFmtId="49" fontId="18" fillId="29" borderId="11" xfId="0" applyNumberFormat="1" applyFont="1" applyFill="1" applyBorder="1" applyAlignment="1">
      <alignment horizontal="center" vertical="top"/>
    </xf>
    <xf numFmtId="0" fontId="13" fillId="0" borderId="33" xfId="0" applyFont="1" applyBorder="1" applyAlignment="1">
      <alignment horizontal="center" vertical="top" wrapText="1"/>
    </xf>
    <xf numFmtId="0" fontId="13" fillId="0" borderId="34" xfId="0" applyFont="1" applyBorder="1" applyAlignment="1">
      <alignment horizontal="center" vertical="top" wrapText="1"/>
    </xf>
    <xf numFmtId="49" fontId="13" fillId="0" borderId="132" xfId="0" quotePrefix="1" applyNumberFormat="1" applyFont="1" applyBorder="1" applyAlignment="1">
      <alignment horizontal="center" vertical="top"/>
    </xf>
    <xf numFmtId="49" fontId="13" fillId="0" borderId="156" xfId="0" applyNumberFormat="1" applyFont="1" applyBorder="1" applyAlignment="1">
      <alignment horizontal="center" vertical="top"/>
    </xf>
    <xf numFmtId="1" fontId="13" fillId="0" borderId="127" xfId="0" applyNumberFormat="1" applyFont="1" applyBorder="1" applyAlignment="1">
      <alignment horizontal="left" vertical="center" wrapText="1"/>
    </xf>
    <xf numFmtId="49" fontId="13" fillId="0" borderId="70" xfId="0" quotePrefix="1" applyNumberFormat="1" applyFont="1" applyBorder="1" applyAlignment="1">
      <alignment horizontal="center" vertical="top"/>
    </xf>
    <xf numFmtId="49" fontId="13" fillId="0" borderId="34" xfId="0" applyNumberFormat="1" applyFont="1" applyBorder="1" applyAlignment="1">
      <alignment horizontal="center" vertical="top"/>
    </xf>
    <xf numFmtId="49" fontId="13" fillId="0" borderId="70" xfId="0" applyNumberFormat="1" applyFont="1" applyBorder="1" applyAlignment="1">
      <alignment horizontal="center" vertical="center"/>
    </xf>
    <xf numFmtId="49" fontId="28" fillId="0" borderId="32" xfId="0" quotePrefix="1" applyNumberFormat="1" applyFont="1" applyBorder="1" applyAlignment="1">
      <alignment horizontal="center" vertical="center"/>
    </xf>
    <xf numFmtId="49" fontId="28" fillId="0" borderId="33" xfId="0" quotePrefix="1" applyNumberFormat="1" applyFont="1" applyBorder="1" applyAlignment="1">
      <alignment horizontal="center" vertical="center"/>
    </xf>
    <xf numFmtId="49" fontId="13" fillId="0" borderId="33" xfId="0" applyNumberFormat="1" applyFont="1" applyBorder="1" applyAlignment="1">
      <alignment horizontal="center" vertical="top"/>
    </xf>
    <xf numFmtId="49" fontId="13" fillId="0" borderId="32" xfId="0" quotePrefix="1" applyNumberFormat="1" applyFont="1" applyBorder="1" applyAlignment="1">
      <alignment horizontal="center" vertical="top"/>
    </xf>
    <xf numFmtId="49" fontId="13" fillId="0" borderId="33" xfId="0" quotePrefix="1" applyNumberFormat="1" applyFont="1" applyBorder="1" applyAlignment="1">
      <alignment horizontal="center" vertical="top"/>
    </xf>
    <xf numFmtId="49" fontId="13" fillId="0" borderId="70" xfId="0" applyNumberFormat="1" applyFont="1" applyBorder="1" applyAlignment="1">
      <alignment horizontal="left" vertical="center"/>
    </xf>
    <xf numFmtId="49" fontId="13" fillId="0" borderId="59" xfId="0" applyNumberFormat="1" applyFont="1" applyBorder="1" applyAlignment="1">
      <alignment horizontal="left" vertical="center"/>
    </xf>
    <xf numFmtId="49" fontId="13" fillId="0" borderId="49" xfId="0" applyNumberFormat="1" applyFont="1" applyBorder="1" applyAlignment="1">
      <alignment horizontal="left" vertical="center"/>
    </xf>
    <xf numFmtId="49" fontId="13" fillId="0" borderId="49" xfId="0" applyNumberFormat="1" applyFont="1" applyBorder="1" applyAlignment="1">
      <alignment horizontal="center" vertical="center"/>
    </xf>
    <xf numFmtId="49" fontId="32" fillId="29" borderId="76" xfId="0" applyNumberFormat="1" applyFont="1" applyFill="1" applyBorder="1" applyAlignment="1">
      <alignment horizontal="left" vertical="top" wrapText="1"/>
    </xf>
    <xf numFmtId="49" fontId="18" fillId="29" borderId="77" xfId="0" applyNumberFormat="1" applyFont="1" applyFill="1" applyBorder="1" applyAlignment="1">
      <alignment horizontal="left" vertical="top" wrapText="1"/>
    </xf>
    <xf numFmtId="49" fontId="18" fillId="29" borderId="105" xfId="0" applyNumberFormat="1" applyFont="1" applyFill="1" applyBorder="1" applyAlignment="1">
      <alignment horizontal="left" vertical="top" wrapText="1"/>
    </xf>
    <xf numFmtId="49" fontId="18" fillId="0" borderId="70" xfId="0" quotePrefix="1" applyNumberFormat="1" applyFont="1" applyBorder="1" applyAlignment="1">
      <alignment horizontal="center" vertical="top"/>
    </xf>
    <xf numFmtId="49" fontId="18" fillId="30" borderId="51" xfId="0" quotePrefix="1" applyNumberFormat="1" applyFont="1" applyFill="1" applyBorder="1" applyAlignment="1">
      <alignment horizontal="center" vertical="top"/>
    </xf>
    <xf numFmtId="49" fontId="18" fillId="29" borderId="13" xfId="0" quotePrefix="1" applyNumberFormat="1" applyFont="1" applyFill="1" applyBorder="1" applyAlignment="1">
      <alignment horizontal="center" vertical="top"/>
    </xf>
    <xf numFmtId="49" fontId="18" fillId="29" borderId="11" xfId="0" quotePrefix="1" applyNumberFormat="1" applyFont="1" applyFill="1" applyBorder="1" applyAlignment="1">
      <alignment horizontal="center" vertical="top"/>
    </xf>
    <xf numFmtId="49" fontId="18" fillId="0" borderId="13" xfId="0" quotePrefix="1" applyNumberFormat="1" applyFont="1" applyBorder="1" applyAlignment="1">
      <alignment horizontal="center" vertical="top"/>
    </xf>
    <xf numFmtId="49" fontId="18" fillId="0" borderId="11" xfId="0" quotePrefix="1" applyNumberFormat="1" applyFont="1" applyBorder="1" applyAlignment="1">
      <alignment horizontal="center" vertical="top"/>
    </xf>
    <xf numFmtId="49" fontId="18" fillId="0" borderId="9" xfId="0" applyNumberFormat="1" applyFont="1" applyBorder="1" applyAlignment="1">
      <alignment horizontal="center" vertical="top"/>
    </xf>
    <xf numFmtId="0" fontId="14" fillId="0" borderId="12" xfId="0" applyFont="1" applyBorder="1" applyAlignment="1">
      <alignment horizontal="left" vertical="center" wrapText="1"/>
    </xf>
    <xf numFmtId="0" fontId="14" fillId="0" borderId="10" xfId="0" applyFont="1" applyBorder="1" applyAlignment="1">
      <alignment horizontal="left" vertical="center" wrapText="1"/>
    </xf>
    <xf numFmtId="0" fontId="13" fillId="0" borderId="8" xfId="0" applyFont="1" applyBorder="1" applyAlignment="1">
      <alignment horizontal="left" vertical="center" wrapText="1"/>
    </xf>
    <xf numFmtId="0" fontId="14" fillId="0" borderId="136" xfId="0" applyFont="1" applyBorder="1" applyAlignment="1">
      <alignment horizontal="left" vertical="center" wrapText="1"/>
    </xf>
    <xf numFmtId="0" fontId="14" fillId="0" borderId="138" xfId="0" applyFont="1" applyBorder="1" applyAlignment="1">
      <alignment horizontal="left" vertical="center" wrapText="1"/>
    </xf>
    <xf numFmtId="0" fontId="13" fillId="25" borderId="136" xfId="0" quotePrefix="1" applyFont="1" applyFill="1" applyBorder="1" applyAlignment="1">
      <alignment horizontal="center" vertical="center" wrapText="1"/>
    </xf>
    <xf numFmtId="0" fontId="13" fillId="25" borderId="138" xfId="0" applyFont="1" applyFill="1" applyBorder="1" applyAlignment="1">
      <alignment horizontal="center" vertical="center" wrapText="1"/>
    </xf>
    <xf numFmtId="49" fontId="18" fillId="29" borderId="137" xfId="0" applyNumberFormat="1" applyFont="1" applyFill="1" applyBorder="1" applyAlignment="1">
      <alignment horizontal="right" vertical="top"/>
    </xf>
    <xf numFmtId="49" fontId="18" fillId="29" borderId="260" xfId="0" applyNumberFormat="1" applyFont="1" applyFill="1" applyBorder="1" applyAlignment="1">
      <alignment horizontal="right" vertical="top"/>
    </xf>
    <xf numFmtId="49" fontId="14" fillId="0" borderId="136" xfId="0" applyNumberFormat="1" applyFont="1" applyBorder="1" applyAlignment="1">
      <alignment horizontal="left" vertical="center" wrapText="1"/>
    </xf>
    <xf numFmtId="49" fontId="14" fillId="0" borderId="137" xfId="0" applyNumberFormat="1" applyFont="1" applyBorder="1" applyAlignment="1">
      <alignment horizontal="left" vertical="center" wrapText="1"/>
    </xf>
    <xf numFmtId="49" fontId="14" fillId="0" borderId="138" xfId="0" applyNumberFormat="1" applyFont="1" applyBorder="1" applyAlignment="1">
      <alignment horizontal="left" vertical="center" wrapText="1"/>
    </xf>
    <xf numFmtId="1" fontId="13" fillId="0" borderId="166" xfId="0" applyNumberFormat="1" applyFont="1" applyBorder="1" applyAlignment="1">
      <alignment horizontal="left" vertical="center" wrapText="1"/>
    </xf>
    <xf numFmtId="1" fontId="13" fillId="0" borderId="132" xfId="0" applyNumberFormat="1" applyFont="1" applyBorder="1" applyAlignment="1">
      <alignment horizontal="left" vertical="center" wrapText="1"/>
    </xf>
    <xf numFmtId="1" fontId="13" fillId="0" borderId="126" xfId="0" applyNumberFormat="1" applyFont="1" applyBorder="1" applyAlignment="1">
      <alignment horizontal="left" vertical="center" wrapText="1"/>
    </xf>
    <xf numFmtId="0" fontId="13" fillId="25" borderId="136" xfId="0" applyFont="1" applyFill="1" applyBorder="1" applyAlignment="1">
      <alignment horizontal="left" vertical="center" wrapText="1"/>
    </xf>
    <xf numFmtId="0" fontId="13" fillId="25" borderId="138" xfId="0" applyFont="1" applyFill="1" applyBorder="1" applyAlignment="1">
      <alignment horizontal="left" vertical="center" wrapText="1"/>
    </xf>
    <xf numFmtId="1" fontId="13" fillId="0" borderId="121" xfId="0" applyNumberFormat="1" applyFont="1" applyBorder="1" applyAlignment="1">
      <alignment horizontal="left" vertical="center" wrapText="1"/>
    </xf>
    <xf numFmtId="49" fontId="18" fillId="30" borderId="124" xfId="0" applyNumberFormat="1" applyFont="1" applyFill="1" applyBorder="1" applyAlignment="1">
      <alignment horizontal="left" vertical="top" wrapText="1"/>
    </xf>
    <xf numFmtId="49" fontId="18" fillId="30" borderId="176" xfId="0" applyNumberFormat="1" applyFont="1" applyFill="1" applyBorder="1" applyAlignment="1">
      <alignment horizontal="left" vertical="top" wrapText="1"/>
    </xf>
    <xf numFmtId="49" fontId="18" fillId="30" borderId="261" xfId="0" applyNumberFormat="1" applyFont="1" applyFill="1" applyBorder="1" applyAlignment="1">
      <alignment horizontal="left" vertical="top" wrapText="1"/>
    </xf>
    <xf numFmtId="49" fontId="18" fillId="0" borderId="132" xfId="0" applyNumberFormat="1" applyFont="1" applyBorder="1" applyAlignment="1">
      <alignment horizontal="center" vertical="top"/>
    </xf>
    <xf numFmtId="49" fontId="18" fillId="0" borderId="126" xfId="0" applyNumberFormat="1" applyFont="1" applyBorder="1" applyAlignment="1">
      <alignment horizontal="center" vertical="top"/>
    </xf>
    <xf numFmtId="0" fontId="13" fillId="0" borderId="122" xfId="0" applyFont="1" applyBorder="1" applyAlignment="1">
      <alignment horizontal="left" vertical="top" wrapText="1"/>
    </xf>
    <xf numFmtId="0" fontId="13" fillId="0" borderId="0" xfId="0" applyFont="1" applyAlignment="1">
      <alignment horizontal="left" vertical="top" wrapText="1"/>
    </xf>
    <xf numFmtId="49" fontId="18" fillId="0" borderId="82" xfId="0" applyNumberFormat="1" applyFont="1" applyBorder="1" applyAlignment="1">
      <alignment horizontal="center" vertical="top"/>
    </xf>
    <xf numFmtId="49" fontId="18" fillId="0" borderId="57" xfId="0" applyNumberFormat="1" applyFont="1" applyBorder="1" applyAlignment="1">
      <alignment horizontal="center" vertical="top"/>
    </xf>
    <xf numFmtId="49" fontId="18" fillId="29" borderId="138" xfId="0" applyNumberFormat="1" applyFont="1" applyFill="1" applyBorder="1" applyAlignment="1">
      <alignment horizontal="left" vertical="top"/>
    </xf>
    <xf numFmtId="49" fontId="18" fillId="29" borderId="156" xfId="0" applyNumberFormat="1" applyFont="1" applyFill="1" applyBorder="1" applyAlignment="1">
      <alignment horizontal="left" vertical="top"/>
    </xf>
    <xf numFmtId="49" fontId="18" fillId="29" borderId="163" xfId="0" applyNumberFormat="1" applyFont="1" applyFill="1" applyBorder="1" applyAlignment="1">
      <alignment horizontal="left" vertical="top"/>
    </xf>
    <xf numFmtId="0" fontId="14" fillId="0" borderId="138" xfId="0" applyFont="1" applyBorder="1" applyAlignment="1">
      <alignment horizontal="left" vertical="top" wrapText="1"/>
    </xf>
    <xf numFmtId="49" fontId="28" fillId="0" borderId="132" xfId="0" quotePrefix="1" applyNumberFormat="1" applyFont="1" applyBorder="1" applyAlignment="1">
      <alignment horizontal="center" vertical="top"/>
    </xf>
    <xf numFmtId="49" fontId="13" fillId="0" borderId="121" xfId="0" applyNumberFormat="1" applyFont="1" applyBorder="1" applyAlignment="1">
      <alignment horizontal="center" vertical="top"/>
    </xf>
    <xf numFmtId="0" fontId="16" fillId="0" borderId="137" xfId="0" applyFont="1" applyBorder="1" applyAlignment="1">
      <alignment horizontal="left" vertical="top" wrapText="1"/>
    </xf>
    <xf numFmtId="49" fontId="18" fillId="30" borderId="208" xfId="0" applyNumberFormat="1" applyFont="1" applyFill="1" applyBorder="1" applyAlignment="1">
      <alignment horizontal="center" vertical="top"/>
    </xf>
    <xf numFmtId="49" fontId="18" fillId="30" borderId="129" xfId="0" applyNumberFormat="1" applyFont="1" applyFill="1" applyBorder="1" applyAlignment="1">
      <alignment horizontal="center" vertical="top"/>
    </xf>
    <xf numFmtId="49" fontId="18" fillId="30" borderId="66" xfId="0" applyNumberFormat="1" applyFont="1" applyFill="1" applyBorder="1" applyAlignment="1">
      <alignment horizontal="center" vertical="top"/>
    </xf>
    <xf numFmtId="49" fontId="18" fillId="29" borderId="51" xfId="0" applyNumberFormat="1" applyFont="1" applyFill="1" applyBorder="1" applyAlignment="1">
      <alignment horizontal="center" vertical="top"/>
    </xf>
    <xf numFmtId="49" fontId="18" fillId="29" borderId="67" xfId="0" applyNumberFormat="1" applyFont="1" applyFill="1" applyBorder="1" applyAlignment="1">
      <alignment horizontal="center" vertical="top"/>
    </xf>
    <xf numFmtId="49" fontId="18" fillId="29" borderId="77" xfId="0" applyNumberFormat="1" applyFont="1" applyFill="1" applyBorder="1" applyAlignment="1">
      <alignment horizontal="right" vertical="top"/>
    </xf>
    <xf numFmtId="49" fontId="18" fillId="29" borderId="107" xfId="0" applyNumberFormat="1" applyFont="1" applyFill="1" applyBorder="1" applyAlignment="1">
      <alignment horizontal="right" vertical="top"/>
    </xf>
    <xf numFmtId="49" fontId="18" fillId="29" borderId="145" xfId="0" applyNumberFormat="1" applyFont="1" applyFill="1" applyBorder="1" applyAlignment="1">
      <alignment horizontal="right" vertical="top"/>
    </xf>
    <xf numFmtId="49" fontId="13" fillId="0" borderId="132" xfId="0" applyNumberFormat="1" applyFont="1" applyBorder="1" applyAlignment="1">
      <alignment horizontal="left" vertical="top"/>
    </xf>
    <xf numFmtId="49" fontId="13" fillId="0" borderId="126" xfId="0" applyNumberFormat="1" applyFont="1" applyBorder="1" applyAlignment="1">
      <alignment horizontal="left" vertical="top"/>
    </xf>
    <xf numFmtId="49" fontId="13" fillId="0" borderId="121" xfId="0" applyNumberFormat="1" applyFont="1" applyBorder="1" applyAlignment="1">
      <alignment horizontal="left" vertical="top"/>
    </xf>
    <xf numFmtId="49" fontId="13" fillId="0" borderId="54" xfId="0" quotePrefix="1" applyNumberFormat="1" applyFont="1" applyBorder="1" applyAlignment="1">
      <alignment horizontal="center" vertical="top"/>
    </xf>
    <xf numFmtId="49" fontId="13" fillId="0" borderId="54" xfId="0" applyNumberFormat="1" applyFont="1" applyBorder="1" applyAlignment="1">
      <alignment horizontal="center" vertical="top"/>
    </xf>
    <xf numFmtId="49" fontId="13" fillId="0" borderId="86" xfId="0" applyNumberFormat="1" applyFont="1" applyBorder="1" applyAlignment="1">
      <alignment horizontal="center" vertical="top"/>
    </xf>
    <xf numFmtId="0" fontId="14" fillId="0" borderId="139" xfId="0" applyFont="1" applyBorder="1" applyAlignment="1">
      <alignment horizontal="left" vertical="top" wrapText="1"/>
    </xf>
    <xf numFmtId="0" fontId="14" fillId="0" borderId="126" xfId="0" applyFont="1" applyBorder="1" applyAlignment="1">
      <alignment horizontal="left" vertical="top" wrapText="1"/>
    </xf>
    <xf numFmtId="0" fontId="14" fillId="0" borderId="181" xfId="0" applyFont="1" applyBorder="1" applyAlignment="1">
      <alignment horizontal="left" vertical="top" wrapText="1"/>
    </xf>
    <xf numFmtId="49" fontId="18" fillId="30" borderId="82" xfId="0" applyNumberFormat="1" applyFont="1" applyFill="1" applyBorder="1" applyAlignment="1">
      <alignment horizontal="center" vertical="top"/>
    </xf>
    <xf numFmtId="49" fontId="18" fillId="29" borderId="52" xfId="0" applyNumberFormat="1" applyFont="1" applyFill="1" applyBorder="1" applyAlignment="1">
      <alignment horizontal="center" vertical="top"/>
    </xf>
    <xf numFmtId="49" fontId="18" fillId="30" borderId="70" xfId="0" quotePrefix="1" applyNumberFormat="1" applyFont="1" applyFill="1" applyBorder="1" applyAlignment="1">
      <alignment horizontal="center" vertical="top" wrapText="1"/>
    </xf>
    <xf numFmtId="49" fontId="18" fillId="30" borderId="59" xfId="0" applyNumberFormat="1" applyFont="1" applyFill="1" applyBorder="1" applyAlignment="1">
      <alignment horizontal="center" vertical="top" wrapText="1"/>
    </xf>
    <xf numFmtId="49" fontId="18" fillId="30" borderId="49" xfId="0" applyNumberFormat="1" applyFont="1" applyFill="1" applyBorder="1" applyAlignment="1">
      <alignment horizontal="center" vertical="top" wrapText="1"/>
    </xf>
    <xf numFmtId="49" fontId="18" fillId="30" borderId="52" xfId="0" applyNumberFormat="1" applyFont="1" applyFill="1" applyBorder="1" applyAlignment="1">
      <alignment horizontal="center" vertical="top"/>
    </xf>
    <xf numFmtId="166" fontId="13" fillId="25" borderId="136" xfId="0" applyNumberFormat="1" applyFont="1" applyFill="1" applyBorder="1" applyAlignment="1">
      <alignment horizontal="center" vertical="top"/>
    </xf>
    <xf numFmtId="166" fontId="13" fillId="25" borderId="138" xfId="0" applyNumberFormat="1" applyFont="1" applyFill="1" applyBorder="1" applyAlignment="1">
      <alignment horizontal="center" vertical="top"/>
    </xf>
    <xf numFmtId="0" fontId="18" fillId="0" borderId="70" xfId="0" applyFont="1" applyBorder="1" applyAlignment="1">
      <alignment horizontal="center" vertical="top" wrapText="1"/>
    </xf>
    <xf numFmtId="0" fontId="18" fillId="0" borderId="59" xfId="0" applyFont="1" applyBorder="1" applyAlignment="1">
      <alignment horizontal="center" vertical="top" wrapText="1"/>
    </xf>
    <xf numFmtId="0" fontId="18" fillId="0" borderId="49" xfId="0" applyFont="1" applyBorder="1" applyAlignment="1">
      <alignment horizontal="center" vertical="top" wrapText="1"/>
    </xf>
    <xf numFmtId="49" fontId="13" fillId="0" borderId="136" xfId="0" applyNumberFormat="1" applyFont="1" applyBorder="1" applyAlignment="1">
      <alignment horizontal="left" vertical="top" wrapText="1"/>
    </xf>
    <xf numFmtId="49" fontId="13" fillId="0" borderId="138" xfId="0" applyNumberFormat="1" applyFont="1" applyBorder="1" applyAlignment="1">
      <alignment horizontal="left" vertical="top" wrapText="1"/>
    </xf>
    <xf numFmtId="49" fontId="18" fillId="0" borderId="13" xfId="0" applyNumberFormat="1" applyFont="1" applyBorder="1" applyAlignment="1">
      <alignment horizontal="center" vertical="top"/>
    </xf>
    <xf numFmtId="0" fontId="13" fillId="0" borderId="12" xfId="0" applyFont="1" applyBorder="1" applyAlignment="1">
      <alignment horizontal="left" vertical="top" wrapText="1"/>
    </xf>
    <xf numFmtId="49" fontId="18" fillId="29" borderId="63" xfId="0" applyNumberFormat="1" applyFont="1" applyFill="1" applyBorder="1" applyAlignment="1">
      <alignment horizontal="right" vertical="top"/>
    </xf>
    <xf numFmtId="49" fontId="18" fillId="29" borderId="118" xfId="0" applyNumberFormat="1" applyFont="1" applyFill="1" applyBorder="1" applyAlignment="1">
      <alignment horizontal="right" vertical="top"/>
    </xf>
    <xf numFmtId="49" fontId="18" fillId="30" borderId="33" xfId="0" applyNumberFormat="1" applyFont="1" applyFill="1" applyBorder="1" applyAlignment="1">
      <alignment horizontal="left" vertical="top" wrapText="1"/>
    </xf>
    <xf numFmtId="49" fontId="18" fillId="30" borderId="0" xfId="0" applyNumberFormat="1" applyFont="1" applyFill="1" applyAlignment="1">
      <alignment horizontal="left" vertical="top" wrapText="1"/>
    </xf>
    <xf numFmtId="49" fontId="18" fillId="30" borderId="54" xfId="0" applyNumberFormat="1" applyFont="1" applyFill="1" applyBorder="1" applyAlignment="1">
      <alignment horizontal="left" vertical="top" wrapText="1"/>
    </xf>
    <xf numFmtId="2" fontId="13" fillId="0" borderId="70" xfId="0" applyNumberFormat="1" applyFont="1" applyBorder="1" applyAlignment="1">
      <alignment horizontal="center" vertical="center"/>
    </xf>
    <xf numFmtId="2" fontId="13" fillId="0" borderId="59" xfId="0" applyNumberFormat="1" applyFont="1" applyBorder="1" applyAlignment="1">
      <alignment horizontal="center" vertical="center"/>
    </xf>
    <xf numFmtId="2" fontId="13" fillId="0" borderId="34" xfId="0" applyNumberFormat="1" applyFont="1" applyBorder="1" applyAlignment="1">
      <alignment horizontal="center" vertical="center"/>
    </xf>
    <xf numFmtId="0" fontId="14" fillId="25" borderId="5" xfId="0" applyFont="1" applyFill="1" applyBorder="1" applyAlignment="1">
      <alignment horizontal="left" vertical="top" wrapText="1"/>
    </xf>
    <xf numFmtId="0" fontId="13" fillId="25" borderId="17" xfId="0" applyFont="1" applyFill="1" applyBorder="1" applyAlignment="1">
      <alignment horizontal="left" vertical="top" wrapText="1"/>
    </xf>
    <xf numFmtId="49" fontId="13" fillId="0" borderId="132" xfId="0" applyNumberFormat="1" applyFont="1" applyBorder="1" applyAlignment="1">
      <alignment vertical="center"/>
    </xf>
    <xf numFmtId="49" fontId="13" fillId="0" borderId="126" xfId="0" applyNumberFormat="1" applyFont="1" applyBorder="1" applyAlignment="1">
      <alignment vertical="center"/>
    </xf>
    <xf numFmtId="2" fontId="13" fillId="25" borderId="70" xfId="0" applyNumberFormat="1" applyFont="1" applyFill="1" applyBorder="1" applyAlignment="1">
      <alignment horizontal="center" vertical="center" wrapText="1"/>
    </xf>
    <xf numFmtId="2" fontId="13" fillId="25" borderId="123" xfId="0" applyNumberFormat="1" applyFont="1" applyFill="1" applyBorder="1" applyAlignment="1">
      <alignment horizontal="center" vertical="center" wrapText="1"/>
    </xf>
    <xf numFmtId="2" fontId="13" fillId="0" borderId="136" xfId="0" applyNumberFormat="1" applyFont="1" applyBorder="1" applyAlignment="1">
      <alignment horizontal="center" vertical="center"/>
    </xf>
    <xf numFmtId="2" fontId="13" fillId="0" borderId="137" xfId="0" applyNumberFormat="1" applyFont="1" applyBorder="1" applyAlignment="1">
      <alignment horizontal="center" vertical="center"/>
    </xf>
    <xf numFmtId="2" fontId="13" fillId="0" borderId="121" xfId="0" applyNumberFormat="1" applyFont="1" applyBorder="1" applyAlignment="1">
      <alignment horizontal="center" vertical="center"/>
    </xf>
    <xf numFmtId="49" fontId="18" fillId="30" borderId="292" xfId="0" applyNumberFormat="1" applyFont="1" applyFill="1" applyBorder="1" applyAlignment="1">
      <alignment horizontal="center" vertical="top"/>
    </xf>
    <xf numFmtId="49" fontId="18" fillId="30" borderId="294" xfId="0" applyNumberFormat="1" applyFont="1" applyFill="1" applyBorder="1" applyAlignment="1">
      <alignment horizontal="center" vertical="top"/>
    </xf>
    <xf numFmtId="49" fontId="18" fillId="30" borderId="295" xfId="0" applyNumberFormat="1" applyFont="1" applyFill="1" applyBorder="1" applyAlignment="1">
      <alignment horizontal="center" vertical="top"/>
    </xf>
    <xf numFmtId="49" fontId="18" fillId="29" borderId="142" xfId="0" applyNumberFormat="1" applyFont="1" applyFill="1" applyBorder="1" applyAlignment="1">
      <alignment horizontal="center" vertical="top"/>
    </xf>
    <xf numFmtId="49" fontId="18" fillId="29" borderId="143" xfId="0" applyNumberFormat="1" applyFont="1" applyFill="1" applyBorder="1" applyAlignment="1">
      <alignment horizontal="center" vertical="top"/>
    </xf>
    <xf numFmtId="49" fontId="18" fillId="29" borderId="144" xfId="0" applyNumberFormat="1" applyFont="1" applyFill="1" applyBorder="1" applyAlignment="1">
      <alignment horizontal="center" vertical="top"/>
    </xf>
    <xf numFmtId="49" fontId="18" fillId="0" borderId="142" xfId="0" applyNumberFormat="1" applyFont="1" applyBorder="1" applyAlignment="1">
      <alignment horizontal="center" vertical="top"/>
    </xf>
    <xf numFmtId="49" fontId="18" fillId="0" borderId="143" xfId="0" applyNumberFormat="1" applyFont="1" applyBorder="1" applyAlignment="1">
      <alignment horizontal="center" vertical="top"/>
    </xf>
    <xf numFmtId="49" fontId="18" fillId="0" borderId="144" xfId="0" applyNumberFormat="1" applyFont="1" applyBorder="1" applyAlignment="1">
      <alignment horizontal="center" vertical="top"/>
    </xf>
    <xf numFmtId="0" fontId="13" fillId="25" borderId="140" xfId="0" applyFont="1" applyFill="1" applyBorder="1" applyAlignment="1">
      <alignment horizontal="left" vertical="top" wrapText="1"/>
    </xf>
    <xf numFmtId="0" fontId="13" fillId="25" borderId="141" xfId="0" applyFont="1" applyFill="1" applyBorder="1" applyAlignment="1">
      <alignment horizontal="left" vertical="top" wrapText="1"/>
    </xf>
    <xf numFmtId="0" fontId="13" fillId="25" borderId="135" xfId="0" applyFont="1" applyFill="1" applyBorder="1" applyAlignment="1">
      <alignment horizontal="left" vertical="top" wrapText="1"/>
    </xf>
    <xf numFmtId="0" fontId="13" fillId="0" borderId="167" xfId="0" applyFont="1" applyBorder="1" applyAlignment="1">
      <alignment horizontal="center" vertical="center" wrapText="1"/>
    </xf>
    <xf numFmtId="0" fontId="13" fillId="0" borderId="164" xfId="0" applyFont="1" applyBorder="1" applyAlignment="1">
      <alignment horizontal="center" vertical="center" wrapText="1"/>
    </xf>
    <xf numFmtId="0" fontId="13" fillId="0" borderId="168" xfId="0" applyFont="1" applyBorder="1" applyAlignment="1">
      <alignment horizontal="center" vertical="center" wrapText="1"/>
    </xf>
    <xf numFmtId="2" fontId="13" fillId="0" borderId="138" xfId="0" applyNumberFormat="1" applyFont="1" applyBorder="1" applyAlignment="1">
      <alignment vertical="center" wrapText="1"/>
    </xf>
    <xf numFmtId="0" fontId="13" fillId="0" borderId="0" xfId="0" applyFont="1" applyAlignment="1">
      <alignment vertical="center" wrapText="1"/>
    </xf>
    <xf numFmtId="0" fontId="13" fillId="0" borderId="156" xfId="0" applyFont="1" applyBorder="1" applyAlignment="1">
      <alignment vertical="center" wrapText="1"/>
    </xf>
    <xf numFmtId="49" fontId="18" fillId="30" borderId="33" xfId="0" applyNumberFormat="1" applyFont="1" applyFill="1" applyBorder="1" applyAlignment="1">
      <alignment horizontal="center" vertical="top"/>
    </xf>
    <xf numFmtId="49" fontId="18" fillId="0" borderId="147" xfId="0" applyNumberFormat="1" applyFont="1" applyBorder="1" applyAlignment="1">
      <alignment horizontal="center" vertical="top"/>
    </xf>
    <xf numFmtId="49" fontId="18" fillId="0" borderId="149" xfId="0" applyNumberFormat="1" applyFont="1" applyBorder="1" applyAlignment="1">
      <alignment horizontal="center" vertical="top"/>
    </xf>
    <xf numFmtId="49" fontId="18" fillId="0" borderId="199" xfId="0" applyNumberFormat="1" applyFont="1" applyBorder="1" applyAlignment="1">
      <alignment horizontal="center" vertical="top"/>
    </xf>
    <xf numFmtId="2" fontId="18" fillId="25" borderId="137" xfId="0" applyNumberFormat="1" applyFont="1" applyFill="1" applyBorder="1" applyAlignment="1">
      <alignment horizontal="center" vertical="top"/>
    </xf>
    <xf numFmtId="2" fontId="18" fillId="25" borderId="138" xfId="0" applyNumberFormat="1" applyFont="1" applyFill="1" applyBorder="1" applyAlignment="1">
      <alignment horizontal="center" vertical="top"/>
    </xf>
    <xf numFmtId="2" fontId="13" fillId="25" borderId="137" xfId="0" applyNumberFormat="1" applyFont="1" applyFill="1" applyBorder="1" applyAlignment="1">
      <alignment horizontal="left" vertical="top" wrapText="1"/>
    </xf>
    <xf numFmtId="2" fontId="13" fillId="25" borderId="138" xfId="0" applyNumberFormat="1" applyFont="1" applyFill="1" applyBorder="1" applyAlignment="1">
      <alignment horizontal="left" vertical="top" wrapText="1"/>
    </xf>
    <xf numFmtId="2" fontId="13" fillId="25" borderId="137" xfId="0" applyNumberFormat="1" applyFont="1" applyFill="1" applyBorder="1" applyAlignment="1">
      <alignment horizontal="center" vertical="top" wrapText="1"/>
    </xf>
    <xf numFmtId="2" fontId="13" fillId="25" borderId="138" xfId="0" applyNumberFormat="1" applyFont="1" applyFill="1" applyBorder="1" applyAlignment="1">
      <alignment horizontal="center" vertical="top" wrapText="1"/>
    </xf>
    <xf numFmtId="2" fontId="13" fillId="25" borderId="126" xfId="0" applyNumberFormat="1" applyFont="1" applyFill="1" applyBorder="1" applyAlignment="1">
      <alignment horizontal="left" vertical="center" wrapText="1"/>
    </xf>
    <xf numFmtId="0" fontId="13" fillId="0" borderId="63" xfId="0" applyFont="1" applyBorder="1" applyAlignment="1">
      <alignment horizontal="center" vertical="top" wrapText="1"/>
    </xf>
    <xf numFmtId="0" fontId="13" fillId="0" borderId="0" xfId="0" applyFont="1" applyAlignment="1">
      <alignment horizontal="center" vertical="top" wrapText="1"/>
    </xf>
    <xf numFmtId="0" fontId="13" fillId="0" borderId="64" xfId="0" applyFont="1" applyBorder="1" applyAlignment="1">
      <alignment horizontal="center" vertical="top" wrapText="1"/>
    </xf>
    <xf numFmtId="2" fontId="13" fillId="25" borderId="132" xfId="0" applyNumberFormat="1" applyFont="1" applyFill="1" applyBorder="1" applyAlignment="1">
      <alignment horizontal="left" vertical="center" wrapText="1"/>
    </xf>
    <xf numFmtId="0" fontId="13" fillId="0" borderId="139" xfId="0" applyFont="1" applyBorder="1" applyAlignment="1">
      <alignment horizontal="left" vertical="center" wrapText="1"/>
    </xf>
    <xf numFmtId="0" fontId="13" fillId="0" borderId="121" xfId="0" applyFont="1" applyBorder="1" applyAlignment="1">
      <alignment horizontal="left" vertical="center" wrapText="1"/>
    </xf>
    <xf numFmtId="2" fontId="13" fillId="25" borderId="136" xfId="0" applyNumberFormat="1" applyFont="1" applyFill="1" applyBorder="1" applyAlignment="1">
      <alignment horizontal="center" vertical="top" wrapText="1"/>
    </xf>
    <xf numFmtId="0" fontId="13" fillId="25" borderId="70" xfId="0" applyFont="1" applyFill="1" applyBorder="1" applyAlignment="1">
      <alignment horizontal="center" vertical="top" wrapText="1"/>
    </xf>
    <xf numFmtId="0" fontId="13" fillId="25" borderId="49" xfId="0" applyFont="1" applyFill="1" applyBorder="1" applyAlignment="1">
      <alignment horizontal="center" vertical="top" wrapText="1"/>
    </xf>
    <xf numFmtId="49" fontId="18" fillId="25" borderId="7" xfId="0" applyNumberFormat="1" applyFont="1" applyFill="1" applyBorder="1" applyAlignment="1">
      <alignment horizontal="center" vertical="top"/>
    </xf>
    <xf numFmtId="49" fontId="18" fillId="25" borderId="9" xfId="0" applyNumberFormat="1" applyFont="1" applyFill="1" applyBorder="1" applyAlignment="1">
      <alignment horizontal="center" vertical="top"/>
    </xf>
    <xf numFmtId="0" fontId="13" fillId="25" borderId="26" xfId="0" applyFont="1" applyFill="1" applyBorder="1" applyAlignment="1">
      <alignment horizontal="left" vertical="top" wrapText="1"/>
    </xf>
    <xf numFmtId="0" fontId="13" fillId="25" borderId="8" xfId="0" applyFont="1" applyFill="1" applyBorder="1" applyAlignment="1">
      <alignment horizontal="left" vertical="top" wrapText="1"/>
    </xf>
    <xf numFmtId="2" fontId="18" fillId="29" borderId="118" xfId="0" applyNumberFormat="1" applyFont="1" applyFill="1" applyBorder="1" applyAlignment="1">
      <alignment horizontal="right" vertical="top"/>
    </xf>
    <xf numFmtId="49" fontId="32" fillId="30" borderId="33" xfId="0" applyNumberFormat="1" applyFont="1" applyFill="1" applyBorder="1" applyAlignment="1">
      <alignment horizontal="left" vertical="top" wrapText="1"/>
    </xf>
    <xf numFmtId="2" fontId="18" fillId="25" borderId="136" xfId="0" applyNumberFormat="1" applyFont="1" applyFill="1" applyBorder="1" applyAlignment="1">
      <alignment horizontal="center" vertical="top"/>
    </xf>
    <xf numFmtId="49" fontId="13" fillId="0" borderId="32" xfId="0" applyNumberFormat="1" applyFont="1" applyBorder="1" applyAlignment="1">
      <alignment horizontal="center" vertical="center" wrapText="1"/>
    </xf>
    <xf numFmtId="49" fontId="13" fillId="0" borderId="33" xfId="0" applyNumberFormat="1" applyFont="1" applyBorder="1" applyAlignment="1">
      <alignment horizontal="center" vertical="center" wrapText="1"/>
    </xf>
    <xf numFmtId="49" fontId="13" fillId="0" borderId="34" xfId="0" applyNumberFormat="1" applyFont="1" applyBorder="1" applyAlignment="1">
      <alignment horizontal="center" vertical="center" wrapText="1"/>
    </xf>
    <xf numFmtId="49" fontId="13" fillId="25" borderId="70" xfId="0" applyNumberFormat="1" applyFont="1" applyFill="1" applyBorder="1" applyAlignment="1">
      <alignment horizontal="left" vertical="center" wrapText="1"/>
    </xf>
    <xf numFmtId="49" fontId="13" fillId="25" borderId="49" xfId="0" applyNumberFormat="1" applyFont="1" applyFill="1" applyBorder="1" applyAlignment="1">
      <alignment horizontal="left" vertical="center" wrapText="1"/>
    </xf>
    <xf numFmtId="49" fontId="13" fillId="25" borderId="70" xfId="0" applyNumberFormat="1" applyFont="1" applyFill="1" applyBorder="1" applyAlignment="1">
      <alignment horizontal="center" vertical="center"/>
    </xf>
    <xf numFmtId="49" fontId="13" fillId="25" borderId="34" xfId="0" applyNumberFormat="1" applyFont="1" applyFill="1" applyBorder="1" applyAlignment="1">
      <alignment horizontal="center" vertical="center"/>
    </xf>
    <xf numFmtId="49" fontId="18" fillId="29" borderId="76" xfId="0" applyNumberFormat="1" applyFont="1" applyFill="1" applyBorder="1" applyAlignment="1">
      <alignment horizontal="left" vertical="top" wrapText="1"/>
    </xf>
    <xf numFmtId="49" fontId="18" fillId="29" borderId="65" xfId="0" applyNumberFormat="1" applyFont="1" applyFill="1" applyBorder="1" applyAlignment="1">
      <alignment horizontal="left" vertical="top" wrapText="1"/>
    </xf>
    <xf numFmtId="0" fontId="13" fillId="25" borderId="70" xfId="0" applyFont="1" applyFill="1" applyBorder="1" applyAlignment="1">
      <alignment horizontal="left" vertical="center" wrapText="1"/>
    </xf>
    <xf numFmtId="0" fontId="13" fillId="25" borderId="59" xfId="0" applyFont="1" applyFill="1" applyBorder="1" applyAlignment="1">
      <alignment horizontal="left" vertical="center" wrapText="1"/>
    </xf>
    <xf numFmtId="2" fontId="18" fillId="29" borderId="228" xfId="0" applyNumberFormat="1" applyFont="1" applyFill="1" applyBorder="1" applyAlignment="1">
      <alignment horizontal="center" vertical="top"/>
    </xf>
    <xf numFmtId="2" fontId="18" fillId="29" borderId="13" xfId="0" applyNumberFormat="1" applyFont="1" applyFill="1" applyBorder="1" applyAlignment="1">
      <alignment horizontal="center" vertical="top"/>
    </xf>
    <xf numFmtId="2" fontId="18" fillId="29" borderId="230" xfId="0" applyNumberFormat="1" applyFont="1" applyFill="1" applyBorder="1" applyAlignment="1">
      <alignment horizontal="center" vertical="top"/>
    </xf>
    <xf numFmtId="2" fontId="13" fillId="25" borderId="137" xfId="0" applyNumberFormat="1" applyFont="1" applyFill="1" applyBorder="1" applyAlignment="1">
      <alignment horizontal="left" vertical="center"/>
    </xf>
    <xf numFmtId="2" fontId="13" fillId="25" borderId="171" xfId="0" applyNumberFormat="1" applyFont="1" applyFill="1" applyBorder="1" applyAlignment="1">
      <alignment horizontal="center" vertical="top" wrapText="1"/>
    </xf>
    <xf numFmtId="2" fontId="13" fillId="25" borderId="59" xfId="0" applyNumberFormat="1" applyFont="1" applyFill="1" applyBorder="1" applyAlignment="1">
      <alignment horizontal="center" vertical="top" wrapText="1"/>
    </xf>
    <xf numFmtId="2" fontId="13" fillId="25" borderId="123" xfId="0" applyNumberFormat="1" applyFont="1" applyFill="1" applyBorder="1" applyAlignment="1">
      <alignment horizontal="center" vertical="top" wrapText="1"/>
    </xf>
    <xf numFmtId="2" fontId="14" fillId="0" borderId="323" xfId="0" applyNumberFormat="1" applyFont="1" applyBorder="1" applyAlignment="1">
      <alignment horizontal="left" vertical="center"/>
    </xf>
    <xf numFmtId="2" fontId="14" fillId="0" borderId="35" xfId="0" applyNumberFormat="1" applyFont="1" applyBorder="1" applyAlignment="1">
      <alignment horizontal="left" vertical="center"/>
    </xf>
    <xf numFmtId="2" fontId="13" fillId="25" borderId="137" xfId="0" applyNumberFormat="1" applyFont="1" applyFill="1" applyBorder="1" applyAlignment="1">
      <alignment horizontal="center" vertical="top"/>
    </xf>
    <xf numFmtId="2" fontId="13" fillId="25" borderId="138" xfId="0" applyNumberFormat="1" applyFont="1" applyFill="1" applyBorder="1" applyAlignment="1">
      <alignment horizontal="center" vertical="top"/>
    </xf>
    <xf numFmtId="2" fontId="28" fillId="25" borderId="132" xfId="0" quotePrefix="1" applyNumberFormat="1" applyFont="1" applyFill="1" applyBorder="1" applyAlignment="1">
      <alignment horizontal="center" vertical="top"/>
    </xf>
    <xf numFmtId="2" fontId="13" fillId="25" borderId="121" xfId="0" applyNumberFormat="1" applyFont="1" applyFill="1" applyBorder="1" applyAlignment="1">
      <alignment horizontal="center" vertical="top"/>
    </xf>
    <xf numFmtId="2" fontId="13" fillId="25" borderId="0" xfId="0" applyNumberFormat="1" applyFont="1" applyFill="1" applyAlignment="1">
      <alignment horizontal="center" vertical="center"/>
    </xf>
    <xf numFmtId="2" fontId="13" fillId="25" borderId="105" xfId="0" applyNumberFormat="1" applyFont="1" applyFill="1" applyBorder="1" applyAlignment="1">
      <alignment horizontal="center" vertical="center"/>
    </xf>
    <xf numFmtId="2" fontId="13" fillId="25" borderId="54" xfId="0" applyNumberFormat="1" applyFont="1" applyFill="1" applyBorder="1" applyAlignment="1">
      <alignment horizontal="center" vertical="center"/>
    </xf>
    <xf numFmtId="2" fontId="13" fillId="25" borderId="86" xfId="0" applyNumberFormat="1" applyFont="1" applyFill="1" applyBorder="1" applyAlignment="1">
      <alignment horizontal="center" vertical="center"/>
    </xf>
    <xf numFmtId="2" fontId="13" fillId="25" borderId="171" xfId="0" applyNumberFormat="1" applyFont="1" applyFill="1" applyBorder="1" applyAlignment="1">
      <alignment horizontal="center" vertical="top"/>
    </xf>
    <xf numFmtId="2" fontId="13" fillId="25" borderId="33" xfId="0" applyNumberFormat="1" applyFont="1" applyFill="1" applyBorder="1" applyAlignment="1">
      <alignment horizontal="center" vertical="top"/>
    </xf>
    <xf numFmtId="2" fontId="13" fillId="25" borderId="129" xfId="0" applyNumberFormat="1" applyFont="1" applyFill="1" applyBorder="1" applyAlignment="1">
      <alignment horizontal="center" vertical="top"/>
    </xf>
    <xf numFmtId="2" fontId="18" fillId="25" borderId="228" xfId="0" applyNumberFormat="1" applyFont="1" applyFill="1" applyBorder="1" applyAlignment="1">
      <alignment horizontal="center" vertical="top"/>
    </xf>
    <xf numFmtId="2" fontId="18" fillId="25" borderId="13" xfId="0" applyNumberFormat="1" applyFont="1" applyFill="1" applyBorder="1" applyAlignment="1">
      <alignment horizontal="center" vertical="top"/>
    </xf>
    <xf numFmtId="2" fontId="18" fillId="25" borderId="230" xfId="0" applyNumberFormat="1" applyFont="1" applyFill="1" applyBorder="1" applyAlignment="1">
      <alignment horizontal="center" vertical="top"/>
    </xf>
    <xf numFmtId="2" fontId="13" fillId="25" borderId="229" xfId="0" applyNumberFormat="1" applyFont="1" applyFill="1" applyBorder="1" applyAlignment="1">
      <alignment horizontal="left" vertical="top" wrapText="1"/>
    </xf>
    <xf numFmtId="2" fontId="13" fillId="25" borderId="12" xfId="0" applyNumberFormat="1" applyFont="1" applyFill="1" applyBorder="1" applyAlignment="1">
      <alignment horizontal="left" vertical="top" wrapText="1"/>
    </xf>
    <xf numFmtId="2" fontId="13" fillId="25" borderId="240" xfId="0" applyNumberFormat="1" applyFont="1" applyFill="1" applyBorder="1" applyAlignment="1">
      <alignment horizontal="left" vertical="top" wrapText="1"/>
    </xf>
    <xf numFmtId="2" fontId="13" fillId="25" borderId="59" xfId="0" applyNumberFormat="1" applyFont="1" applyFill="1" applyBorder="1" applyAlignment="1">
      <alignment horizontal="left" vertical="center" wrapText="1"/>
    </xf>
    <xf numFmtId="2" fontId="13" fillId="25" borderId="136" xfId="0" applyNumberFormat="1" applyFont="1" applyFill="1" applyBorder="1" applyAlignment="1">
      <alignment horizontal="left" vertical="top" wrapText="1"/>
    </xf>
    <xf numFmtId="2" fontId="13" fillId="0" borderId="132" xfId="0" applyNumberFormat="1" applyFont="1" applyBorder="1" applyAlignment="1">
      <alignment horizontal="left" vertical="center" wrapText="1"/>
    </xf>
    <xf numFmtId="2" fontId="13" fillId="0" borderId="126" xfId="0" applyNumberFormat="1" applyFont="1" applyBorder="1" applyAlignment="1">
      <alignment horizontal="left" vertical="center" wrapText="1"/>
    </xf>
    <xf numFmtId="49" fontId="18" fillId="30" borderId="307" xfId="0" applyNumberFormat="1" applyFont="1" applyFill="1" applyBorder="1" applyAlignment="1">
      <alignment horizontal="center" vertical="top"/>
    </xf>
    <xf numFmtId="49" fontId="18" fillId="30" borderId="308" xfId="0" applyNumberFormat="1" applyFont="1" applyFill="1" applyBorder="1" applyAlignment="1">
      <alignment horizontal="center" vertical="top"/>
    </xf>
    <xf numFmtId="2" fontId="14" fillId="25" borderId="136" xfId="0" applyNumberFormat="1" applyFont="1" applyFill="1" applyBorder="1" applyAlignment="1">
      <alignment horizontal="left" vertical="top" wrapText="1"/>
    </xf>
    <xf numFmtId="2" fontId="14" fillId="25" borderId="138" xfId="0" applyNumberFormat="1" applyFont="1" applyFill="1" applyBorder="1" applyAlignment="1">
      <alignment horizontal="left" vertical="top" wrapText="1"/>
    </xf>
    <xf numFmtId="2" fontId="13" fillId="25" borderId="132" xfId="0" applyNumberFormat="1" applyFont="1" applyFill="1" applyBorder="1" applyAlignment="1">
      <alignment horizontal="center" vertical="top" wrapText="1"/>
    </xf>
    <xf numFmtId="2" fontId="13" fillId="25" borderId="121" xfId="0" applyNumberFormat="1" applyFont="1" applyFill="1" applyBorder="1" applyAlignment="1">
      <alignment horizontal="center" vertical="top" wrapText="1"/>
    </xf>
    <xf numFmtId="2" fontId="13" fillId="0" borderId="121" xfId="0" applyNumberFormat="1" applyFont="1" applyBorder="1" applyAlignment="1">
      <alignment horizontal="left" vertical="center" wrapText="1"/>
    </xf>
    <xf numFmtId="2" fontId="13" fillId="0" borderId="187" xfId="0" applyNumberFormat="1" applyFont="1" applyBorder="1" applyAlignment="1">
      <alignment horizontal="left" vertical="center" wrapText="1"/>
    </xf>
    <xf numFmtId="2" fontId="13" fillId="0" borderId="188" xfId="0" applyNumberFormat="1" applyFont="1" applyBorder="1" applyAlignment="1">
      <alignment horizontal="left" vertical="center" wrapText="1"/>
    </xf>
    <xf numFmtId="2" fontId="13" fillId="25" borderId="70" xfId="0" applyNumberFormat="1" applyFont="1" applyFill="1" applyBorder="1" applyAlignment="1">
      <alignment horizontal="center" vertical="top" wrapText="1"/>
    </xf>
    <xf numFmtId="2" fontId="13" fillId="25" borderId="49" xfId="0" applyNumberFormat="1" applyFont="1" applyFill="1" applyBorder="1" applyAlignment="1">
      <alignment horizontal="center" vertical="top" wrapText="1"/>
    </xf>
    <xf numFmtId="2" fontId="13" fillId="25" borderId="171" xfId="0" applyNumberFormat="1" applyFont="1" applyFill="1" applyBorder="1" applyAlignment="1">
      <alignment horizontal="left" vertical="center"/>
    </xf>
    <xf numFmtId="2" fontId="13" fillId="25" borderId="59" xfId="0" applyNumberFormat="1" applyFont="1" applyFill="1" applyBorder="1" applyAlignment="1">
      <alignment horizontal="left" vertical="center"/>
    </xf>
    <xf numFmtId="2" fontId="13" fillId="25" borderId="123" xfId="0" applyNumberFormat="1" applyFont="1" applyFill="1" applyBorder="1" applyAlignment="1">
      <alignment horizontal="left" vertical="center"/>
    </xf>
    <xf numFmtId="2" fontId="18" fillId="29" borderId="9" xfId="0" applyNumberFormat="1" applyFont="1" applyFill="1" applyBorder="1" applyAlignment="1">
      <alignment horizontal="center" vertical="top"/>
    </xf>
    <xf numFmtId="2" fontId="18" fillId="25" borderId="9" xfId="0" applyNumberFormat="1" applyFont="1" applyFill="1" applyBorder="1" applyAlignment="1">
      <alignment horizontal="center" vertical="top"/>
    </xf>
    <xf numFmtId="2" fontId="13" fillId="25" borderId="8" xfId="0" applyNumberFormat="1" applyFont="1" applyFill="1" applyBorder="1" applyAlignment="1">
      <alignment horizontal="left" vertical="top" wrapText="1"/>
    </xf>
    <xf numFmtId="49" fontId="13" fillId="0" borderId="34" xfId="0" quotePrefix="1" applyNumberFormat="1" applyFont="1" applyBorder="1" applyAlignment="1">
      <alignment horizontal="center" vertical="center"/>
    </xf>
    <xf numFmtId="49" fontId="14" fillId="0" borderId="126" xfId="0" quotePrefix="1" applyNumberFormat="1" applyFont="1" applyBorder="1" applyAlignment="1">
      <alignment horizontal="center" vertical="center"/>
    </xf>
    <xf numFmtId="0" fontId="14" fillId="0" borderId="136" xfId="0" applyFont="1" applyBorder="1" applyAlignment="1">
      <alignment horizontal="center" vertical="center" wrapText="1"/>
    </xf>
    <xf numFmtId="0" fontId="14" fillId="0" borderId="137" xfId="0" applyFont="1" applyBorder="1" applyAlignment="1">
      <alignment horizontal="center" vertical="center" wrapText="1"/>
    </xf>
    <xf numFmtId="49" fontId="13" fillId="0" borderId="137" xfId="0" applyNumberFormat="1" applyFont="1" applyBorder="1" applyAlignment="1">
      <alignment horizontal="left" vertical="center" wrapText="1"/>
    </xf>
    <xf numFmtId="0" fontId="13" fillId="25" borderId="84" xfId="0" applyFont="1" applyFill="1" applyBorder="1" applyAlignment="1">
      <alignment horizontal="left" vertical="top" wrapText="1"/>
    </xf>
    <xf numFmtId="0" fontId="13" fillId="25" borderId="39" xfId="0" applyFont="1" applyFill="1" applyBorder="1" applyAlignment="1">
      <alignment horizontal="left" vertical="top" wrapText="1"/>
    </xf>
    <xf numFmtId="49" fontId="18" fillId="0" borderId="121" xfId="0" applyNumberFormat="1" applyFont="1" applyBorder="1" applyAlignment="1">
      <alignment horizontal="center" vertical="top"/>
    </xf>
    <xf numFmtId="0" fontId="16" fillId="0" borderId="132" xfId="0" applyFont="1" applyBorder="1" applyAlignment="1">
      <alignment horizontal="left" vertical="top" wrapText="1"/>
    </xf>
    <xf numFmtId="0" fontId="16" fillId="0" borderId="126" xfId="0" applyFont="1" applyBorder="1" applyAlignment="1">
      <alignment horizontal="left" vertical="top" wrapText="1"/>
    </xf>
    <xf numFmtId="0" fontId="16" fillId="0" borderId="121" xfId="0" applyFont="1" applyBorder="1" applyAlignment="1">
      <alignment horizontal="left" vertical="top" wrapText="1"/>
    </xf>
    <xf numFmtId="0" fontId="13" fillId="0" borderId="136" xfId="0" applyFont="1" applyBorder="1" applyAlignment="1">
      <alignment horizontal="center" vertical="top" wrapText="1"/>
    </xf>
    <xf numFmtId="0" fontId="13" fillId="0" borderId="137" xfId="0" applyFont="1" applyBorder="1" applyAlignment="1">
      <alignment horizontal="center" vertical="top" wrapText="1"/>
    </xf>
    <xf numFmtId="0" fontId="13" fillId="0" borderId="138" xfId="0" applyFont="1" applyBorder="1" applyAlignment="1">
      <alignment horizontal="center" vertical="top" wrapText="1"/>
    </xf>
    <xf numFmtId="49" fontId="32" fillId="29" borderId="32" xfId="0" applyNumberFormat="1" applyFont="1" applyFill="1" applyBorder="1" applyAlignment="1">
      <alignment horizontal="left" vertical="top" wrapText="1"/>
    </xf>
    <xf numFmtId="49" fontId="32" fillId="29" borderId="63" xfId="0" applyNumberFormat="1" applyFont="1" applyFill="1" applyBorder="1" applyAlignment="1">
      <alignment horizontal="left" vertical="top" wrapText="1"/>
    </xf>
    <xf numFmtId="49" fontId="32" fillId="29" borderId="54" xfId="0" applyNumberFormat="1" applyFont="1" applyFill="1" applyBorder="1" applyAlignment="1">
      <alignment horizontal="left" vertical="top" wrapText="1"/>
    </xf>
    <xf numFmtId="49" fontId="18" fillId="30" borderId="104" xfId="0" applyNumberFormat="1" applyFont="1" applyFill="1" applyBorder="1" applyAlignment="1">
      <alignment horizontal="right" vertical="top"/>
    </xf>
    <xf numFmtId="49" fontId="18" fillId="30" borderId="5" xfId="0" applyNumberFormat="1" applyFont="1" applyFill="1" applyBorder="1" applyAlignment="1">
      <alignment horizontal="right" vertical="top"/>
    </xf>
    <xf numFmtId="49" fontId="18" fillId="30" borderId="103" xfId="0" applyNumberFormat="1" applyFont="1" applyFill="1" applyBorder="1" applyAlignment="1">
      <alignment horizontal="right" vertical="top"/>
    </xf>
    <xf numFmtId="49" fontId="13" fillId="0" borderId="126" xfId="0" applyNumberFormat="1" applyFont="1" applyBorder="1" applyAlignment="1">
      <alignment horizontal="center" vertical="center"/>
    </xf>
    <xf numFmtId="49" fontId="13" fillId="0" borderId="122" xfId="0" applyNumberFormat="1" applyFont="1" applyBorder="1" applyAlignment="1">
      <alignment horizontal="center" vertical="center"/>
    </xf>
    <xf numFmtId="49" fontId="18" fillId="31" borderId="93" xfId="0" applyNumberFormat="1" applyFont="1" applyFill="1" applyBorder="1" applyAlignment="1">
      <alignment horizontal="right" vertical="top"/>
    </xf>
    <xf numFmtId="0" fontId="13" fillId="25" borderId="131" xfId="0" applyFont="1" applyFill="1" applyBorder="1" applyAlignment="1">
      <alignment horizontal="left" vertical="center" wrapText="1"/>
    </xf>
    <xf numFmtId="0" fontId="13" fillId="0" borderId="127" xfId="0" applyFont="1" applyBorder="1" applyAlignment="1">
      <alignment horizontal="left" vertical="top" wrapText="1"/>
    </xf>
    <xf numFmtId="49" fontId="18" fillId="30" borderId="131" xfId="0" applyNumberFormat="1" applyFont="1" applyFill="1" applyBorder="1" applyAlignment="1">
      <alignment horizontal="center" vertical="top"/>
    </xf>
    <xf numFmtId="49" fontId="18" fillId="30" borderId="121" xfId="0" applyNumberFormat="1" applyFont="1" applyFill="1" applyBorder="1" applyAlignment="1">
      <alignment horizontal="center" vertical="top"/>
    </xf>
    <xf numFmtId="49" fontId="18" fillId="25" borderId="136" xfId="0" applyNumberFormat="1" applyFont="1" applyFill="1" applyBorder="1" applyAlignment="1">
      <alignment horizontal="center" vertical="top"/>
    </xf>
    <xf numFmtId="49" fontId="18" fillId="25" borderId="138" xfId="0" applyNumberFormat="1" applyFont="1" applyFill="1" applyBorder="1" applyAlignment="1">
      <alignment horizontal="center" vertical="top"/>
    </xf>
    <xf numFmtId="0" fontId="13" fillId="0" borderId="150" xfId="0" applyFont="1" applyBorder="1" applyAlignment="1">
      <alignment horizontal="left" vertical="center" wrapText="1"/>
    </xf>
    <xf numFmtId="0" fontId="14" fillId="0" borderId="162" xfId="0" applyFont="1" applyBorder="1" applyAlignment="1">
      <alignment horizontal="left" vertical="top" wrapText="1"/>
    </xf>
    <xf numFmtId="0" fontId="14" fillId="0" borderId="166" xfId="0" applyFont="1" applyBorder="1" applyAlignment="1">
      <alignment horizontal="left" vertical="top" wrapText="1"/>
    </xf>
    <xf numFmtId="0" fontId="14" fillId="0" borderId="163" xfId="0" applyFont="1" applyBorder="1" applyAlignment="1">
      <alignment horizontal="left" vertical="top" wrapText="1"/>
    </xf>
    <xf numFmtId="0" fontId="13" fillId="0" borderId="162" xfId="0" applyFont="1" applyBorder="1" applyAlignment="1">
      <alignment horizontal="center" vertical="center" wrapText="1"/>
    </xf>
    <xf numFmtId="0" fontId="13" fillId="0" borderId="166" xfId="0" applyFont="1" applyBorder="1" applyAlignment="1">
      <alignment horizontal="center" vertical="center" wrapText="1"/>
    </xf>
    <xf numFmtId="0" fontId="13" fillId="0" borderId="163" xfId="0" applyFont="1" applyBorder="1" applyAlignment="1">
      <alignment horizontal="center" vertical="center" wrapText="1"/>
    </xf>
    <xf numFmtId="49" fontId="18" fillId="29" borderId="0" xfId="0" applyNumberFormat="1" applyFont="1" applyFill="1" applyAlignment="1">
      <alignment horizontal="center" vertical="top"/>
    </xf>
    <xf numFmtId="0" fontId="13" fillId="25" borderId="136" xfId="0" applyFont="1" applyFill="1" applyBorder="1" applyAlignment="1">
      <alignment horizontal="center" vertical="center" wrapText="1"/>
    </xf>
    <xf numFmtId="49" fontId="18" fillId="30" borderId="276" xfId="0" applyNumberFormat="1" applyFont="1" applyFill="1" applyBorder="1" applyAlignment="1">
      <alignment horizontal="center" vertical="top"/>
    </xf>
    <xf numFmtId="49" fontId="18" fillId="30" borderId="104" xfId="0" applyNumberFormat="1" applyFont="1" applyFill="1" applyBorder="1" applyAlignment="1">
      <alignment horizontal="center" vertical="top"/>
    </xf>
    <xf numFmtId="49" fontId="18" fillId="30" borderId="94" xfId="0" applyNumberFormat="1" applyFont="1" applyFill="1" applyBorder="1" applyAlignment="1">
      <alignment horizontal="center" vertical="top"/>
    </xf>
    <xf numFmtId="49" fontId="18" fillId="30" borderId="222" xfId="0" applyNumberFormat="1" applyFont="1" applyFill="1" applyBorder="1" applyAlignment="1">
      <alignment horizontal="center" vertical="top"/>
    </xf>
    <xf numFmtId="0" fontId="13" fillId="0" borderId="105" xfId="0" applyFont="1" applyBorder="1" applyAlignment="1">
      <alignment horizontal="center" vertical="center" wrapText="1"/>
    </xf>
    <xf numFmtId="0" fontId="13" fillId="0" borderId="86" xfId="0" applyFont="1" applyBorder="1" applyAlignment="1">
      <alignment horizontal="center" vertical="center" wrapText="1"/>
    </xf>
    <xf numFmtId="49" fontId="18" fillId="30" borderId="70" xfId="0" quotePrefix="1" applyNumberFormat="1" applyFont="1" applyFill="1" applyBorder="1" applyAlignment="1">
      <alignment horizontal="center" vertical="top"/>
    </xf>
    <xf numFmtId="49" fontId="18" fillId="30" borderId="49" xfId="0" quotePrefix="1" applyNumberFormat="1" applyFont="1" applyFill="1" applyBorder="1" applyAlignment="1">
      <alignment horizontal="center" vertical="top"/>
    </xf>
    <xf numFmtId="0" fontId="13" fillId="0" borderId="138" xfId="0" applyFont="1" applyBorder="1" applyAlignment="1">
      <alignment horizontal="left" vertical="top" wrapText="1"/>
    </xf>
    <xf numFmtId="49" fontId="14" fillId="0" borderId="126" xfId="0" applyNumberFormat="1" applyFont="1" applyBorder="1" applyAlignment="1">
      <alignment horizontal="left" vertical="center" wrapText="1"/>
    </xf>
    <xf numFmtId="49" fontId="14" fillId="0" borderId="121" xfId="0" applyNumberFormat="1" applyFont="1" applyBorder="1" applyAlignment="1">
      <alignment horizontal="left" vertical="center" wrapText="1"/>
    </xf>
    <xf numFmtId="0" fontId="13" fillId="25" borderId="141" xfId="0" applyFont="1" applyFill="1" applyBorder="1" applyAlignment="1">
      <alignment horizontal="left" vertical="center" wrapText="1"/>
    </xf>
    <xf numFmtId="0" fontId="13" fillId="25" borderId="135" xfId="0" applyFont="1" applyFill="1" applyBorder="1" applyAlignment="1">
      <alignment horizontal="left" vertical="center" wrapText="1"/>
    </xf>
    <xf numFmtId="49" fontId="18" fillId="30" borderId="136" xfId="0" applyNumberFormat="1" applyFont="1" applyFill="1" applyBorder="1" applyAlignment="1">
      <alignment horizontal="center" vertical="top"/>
    </xf>
    <xf numFmtId="49" fontId="18" fillId="30" borderId="137" xfId="0" applyNumberFormat="1" applyFont="1" applyFill="1" applyBorder="1" applyAlignment="1">
      <alignment horizontal="center" vertical="top"/>
    </xf>
    <xf numFmtId="0" fontId="14" fillId="25" borderId="136" xfId="0" applyFont="1" applyFill="1" applyBorder="1" applyAlignment="1">
      <alignment horizontal="left" vertical="top" wrapText="1"/>
    </xf>
    <xf numFmtId="0" fontId="14" fillId="25" borderId="138" xfId="0" applyFont="1" applyFill="1" applyBorder="1" applyAlignment="1">
      <alignment horizontal="left" vertical="top" wrapText="1"/>
    </xf>
    <xf numFmtId="49" fontId="18" fillId="29" borderId="122" xfId="0" applyNumberFormat="1" applyFont="1" applyFill="1" applyBorder="1" applyAlignment="1">
      <alignment horizontal="center" vertical="top"/>
    </xf>
    <xf numFmtId="0" fontId="13" fillId="0" borderId="198" xfId="0" applyFont="1" applyBorder="1" applyAlignment="1">
      <alignment horizontal="left" vertical="top" wrapText="1"/>
    </xf>
    <xf numFmtId="0" fontId="13" fillId="25" borderId="81" xfId="0" applyFont="1" applyFill="1" applyBorder="1" applyAlignment="1">
      <alignment horizontal="center" vertical="center"/>
    </xf>
    <xf numFmtId="2" fontId="13" fillId="26" borderId="70" xfId="0" applyNumberFormat="1" applyFont="1" applyFill="1" applyBorder="1" applyAlignment="1">
      <alignment horizontal="center" vertical="center"/>
    </xf>
    <xf numFmtId="2" fontId="13" fillId="26" borderId="81" xfId="0" applyNumberFormat="1" applyFont="1" applyFill="1" applyBorder="1" applyAlignment="1">
      <alignment horizontal="center" vertical="center"/>
    </xf>
    <xf numFmtId="0" fontId="14" fillId="0" borderId="81" xfId="0" applyFont="1" applyBorder="1" applyAlignment="1">
      <alignment horizontal="left" vertical="center" wrapText="1"/>
    </xf>
    <xf numFmtId="49" fontId="18" fillId="0" borderId="73" xfId="0" applyNumberFormat="1" applyFont="1" applyBorder="1" applyAlignment="1">
      <alignment horizontal="center" vertical="top"/>
    </xf>
    <xf numFmtId="49" fontId="18" fillId="0" borderId="74" xfId="0" applyNumberFormat="1" applyFont="1" applyBorder="1" applyAlignment="1">
      <alignment horizontal="center" vertical="top"/>
    </xf>
    <xf numFmtId="49" fontId="18" fillId="0" borderId="51" xfId="0" applyNumberFormat="1" applyFont="1" applyBorder="1" applyAlignment="1">
      <alignment horizontal="center" vertical="top"/>
    </xf>
    <xf numFmtId="0" fontId="13" fillId="25" borderId="196" xfId="0" applyFont="1" applyFill="1" applyBorder="1" applyAlignment="1">
      <alignment horizontal="left" vertical="top" wrapText="1"/>
    </xf>
    <xf numFmtId="0" fontId="13" fillId="25" borderId="220" xfId="0" applyFont="1" applyFill="1" applyBorder="1" applyAlignment="1">
      <alignment horizontal="left" vertical="top" wrapText="1"/>
    </xf>
    <xf numFmtId="0" fontId="13" fillId="25" borderId="198" xfId="0" applyFont="1" applyFill="1" applyBorder="1" applyAlignment="1">
      <alignment horizontal="left" vertical="top" wrapText="1"/>
    </xf>
    <xf numFmtId="2" fontId="13" fillId="0" borderId="357" xfId="0" applyNumberFormat="1" applyFont="1" applyBorder="1" applyAlignment="1">
      <alignment horizontal="left" vertical="center" wrapText="1"/>
    </xf>
    <xf numFmtId="2" fontId="13" fillId="0" borderId="34" xfId="0" applyNumberFormat="1" applyFont="1" applyBorder="1" applyAlignment="1">
      <alignment horizontal="left" vertical="center" wrapText="1"/>
    </xf>
    <xf numFmtId="2" fontId="13" fillId="25" borderId="34" xfId="0" applyNumberFormat="1" applyFont="1" applyFill="1" applyBorder="1" applyAlignment="1">
      <alignment horizontal="center" vertical="center" wrapText="1"/>
    </xf>
    <xf numFmtId="2" fontId="13" fillId="25" borderId="33" xfId="0" applyNumberFormat="1" applyFont="1" applyFill="1" applyBorder="1" applyAlignment="1">
      <alignment horizontal="center" vertical="center" wrapText="1"/>
    </xf>
    <xf numFmtId="49" fontId="18" fillId="30" borderId="33" xfId="23" applyNumberFormat="1" applyFont="1" applyFill="1" applyBorder="1" applyAlignment="1">
      <alignment horizontal="center" vertical="top"/>
    </xf>
    <xf numFmtId="49" fontId="18" fillId="30" borderId="129" xfId="23" applyNumberFormat="1" applyFont="1" applyFill="1" applyBorder="1" applyAlignment="1">
      <alignment horizontal="center" vertical="top"/>
    </xf>
    <xf numFmtId="49" fontId="18" fillId="29" borderId="137" xfId="23" applyNumberFormat="1" applyFont="1" applyFill="1" applyBorder="1" applyAlignment="1">
      <alignment horizontal="center" vertical="top"/>
    </xf>
    <xf numFmtId="49" fontId="18" fillId="29" borderId="138" xfId="23" applyNumberFormat="1" applyFont="1" applyFill="1" applyBorder="1" applyAlignment="1">
      <alignment horizontal="center" vertical="top"/>
    </xf>
    <xf numFmtId="49" fontId="18" fillId="35" borderId="126" xfId="23" applyNumberFormat="1" applyFont="1" applyFill="1" applyBorder="1" applyAlignment="1">
      <alignment horizontal="center" vertical="top"/>
    </xf>
    <xf numFmtId="49" fontId="18" fillId="35" borderId="121" xfId="23" applyNumberFormat="1" applyFont="1" applyFill="1" applyBorder="1" applyAlignment="1">
      <alignment horizontal="center" vertical="top"/>
    </xf>
    <xf numFmtId="0" fontId="13" fillId="0" borderId="126" xfId="23" applyFont="1" applyBorder="1" applyAlignment="1">
      <alignment horizontal="left" vertical="top" wrapText="1"/>
    </xf>
    <xf numFmtId="0" fontId="13" fillId="0" borderId="121" xfId="23" applyFont="1" applyBorder="1" applyAlignment="1">
      <alignment horizontal="left" vertical="top" wrapText="1"/>
    </xf>
    <xf numFmtId="0" fontId="13" fillId="35" borderId="126" xfId="23" applyFont="1" applyFill="1" applyBorder="1" applyAlignment="1">
      <alignment horizontal="center" vertical="center" wrapText="1"/>
    </xf>
    <xf numFmtId="0" fontId="13" fillId="35" borderId="121" xfId="23" applyFont="1" applyFill="1" applyBorder="1" applyAlignment="1">
      <alignment horizontal="center" vertical="center" wrapText="1"/>
    </xf>
    <xf numFmtId="0" fontId="13" fillId="0" borderId="126" xfId="0" applyFont="1" applyBorder="1" applyAlignment="1">
      <alignment horizontal="left" vertical="center" wrapText="1"/>
    </xf>
    <xf numFmtId="49" fontId="13" fillId="25" borderId="32" xfId="23" applyNumberFormat="1" applyFont="1" applyFill="1" applyBorder="1" applyAlignment="1">
      <alignment horizontal="center" vertical="center" wrapText="1"/>
    </xf>
    <xf numFmtId="49" fontId="13" fillId="25" borderId="33" xfId="23" applyNumberFormat="1" applyFont="1" applyFill="1" applyBorder="1" applyAlignment="1">
      <alignment horizontal="center" vertical="center" wrapText="1"/>
    </xf>
    <xf numFmtId="49" fontId="18" fillId="30" borderId="70" xfId="23" applyNumberFormat="1" applyFont="1" applyFill="1" applyBorder="1" applyAlignment="1">
      <alignment horizontal="center" vertical="top"/>
    </xf>
    <xf numFmtId="49" fontId="18" fillId="30" borderId="59" xfId="23" applyNumberFormat="1" applyFont="1" applyFill="1" applyBorder="1" applyAlignment="1">
      <alignment horizontal="center" vertical="top"/>
    </xf>
    <xf numFmtId="49" fontId="18" fillId="29" borderId="70" xfId="23" applyNumberFormat="1" applyFont="1" applyFill="1" applyBorder="1" applyAlignment="1">
      <alignment horizontal="center" vertical="top"/>
    </xf>
    <xf numFmtId="49" fontId="18" fillId="29" borderId="59" xfId="23" applyNumberFormat="1" applyFont="1" applyFill="1" applyBorder="1" applyAlignment="1">
      <alignment horizontal="center" vertical="top"/>
    </xf>
    <xf numFmtId="49" fontId="18" fillId="35" borderId="70" xfId="23" applyNumberFormat="1" applyFont="1" applyFill="1" applyBorder="1" applyAlignment="1">
      <alignment horizontal="center" vertical="top"/>
    </xf>
    <xf numFmtId="49" fontId="18" fillId="35" borderId="59" xfId="23" applyNumberFormat="1" applyFont="1" applyFill="1" applyBorder="1" applyAlignment="1">
      <alignment horizontal="center" vertical="top"/>
    </xf>
    <xf numFmtId="0" fontId="13" fillId="0" borderId="70" xfId="23" applyFont="1" applyBorder="1" applyAlignment="1">
      <alignment horizontal="left" vertical="top" wrapText="1"/>
    </xf>
    <xf numFmtId="0" fontId="13" fillId="0" borderId="59" xfId="23" applyFont="1" applyBorder="1" applyAlignment="1">
      <alignment horizontal="left" vertical="top" wrapText="1"/>
    </xf>
    <xf numFmtId="0" fontId="13" fillId="35" borderId="70" xfId="23" applyFont="1" applyFill="1" applyBorder="1" applyAlignment="1">
      <alignment horizontal="center" vertical="center" wrapText="1"/>
    </xf>
    <xf numFmtId="0" fontId="13" fillId="35" borderId="59" xfId="23" applyFont="1" applyFill="1" applyBorder="1" applyAlignment="1">
      <alignment horizontal="center" vertical="center" wrapText="1"/>
    </xf>
    <xf numFmtId="49" fontId="18" fillId="30" borderId="136" xfId="23" applyNumberFormat="1" applyFont="1" applyFill="1" applyBorder="1" applyAlignment="1">
      <alignment horizontal="center" vertical="top"/>
    </xf>
    <xf numFmtId="49" fontId="18" fillId="30" borderId="137" xfId="23" applyNumberFormat="1" applyFont="1" applyFill="1" applyBorder="1" applyAlignment="1">
      <alignment horizontal="center" vertical="top"/>
    </xf>
    <xf numFmtId="49" fontId="18" fillId="30" borderId="138" xfId="23" applyNumberFormat="1" applyFont="1" applyFill="1" applyBorder="1" applyAlignment="1">
      <alignment horizontal="center" vertical="top"/>
    </xf>
    <xf numFmtId="49" fontId="13" fillId="25" borderId="136" xfId="23" applyNumberFormat="1" applyFont="1" applyFill="1" applyBorder="1" applyAlignment="1">
      <alignment horizontal="center" vertical="center" wrapText="1"/>
    </xf>
    <xf numFmtId="49" fontId="13" fillId="25" borderId="137" xfId="23" applyNumberFormat="1" applyFont="1" applyFill="1" applyBorder="1" applyAlignment="1">
      <alignment horizontal="center" vertical="center" wrapText="1"/>
    </xf>
    <xf numFmtId="49" fontId="13" fillId="25" borderId="121" xfId="23" applyNumberFormat="1" applyFont="1" applyFill="1" applyBorder="1" applyAlignment="1">
      <alignment horizontal="center" vertical="center" wrapText="1"/>
    </xf>
    <xf numFmtId="49" fontId="18" fillId="29" borderId="136" xfId="23" applyNumberFormat="1" applyFont="1" applyFill="1" applyBorder="1" applyAlignment="1">
      <alignment horizontal="center" vertical="top"/>
    </xf>
    <xf numFmtId="49" fontId="18" fillId="35" borderId="136" xfId="23" applyNumberFormat="1" applyFont="1" applyFill="1" applyBorder="1" applyAlignment="1">
      <alignment horizontal="center" vertical="top"/>
    </xf>
    <xf numFmtId="49" fontId="18" fillId="35" borderId="137" xfId="23" applyNumberFormat="1" applyFont="1" applyFill="1" applyBorder="1" applyAlignment="1">
      <alignment horizontal="center" vertical="top"/>
    </xf>
    <xf numFmtId="49" fontId="18" fillId="35" borderId="138" xfId="23" applyNumberFormat="1" applyFont="1" applyFill="1" applyBorder="1" applyAlignment="1">
      <alignment horizontal="center" vertical="top"/>
    </xf>
    <xf numFmtId="0" fontId="13" fillId="0" borderId="132" xfId="23" applyFont="1" applyBorder="1" applyAlignment="1">
      <alignment horizontal="left" vertical="top" wrapText="1"/>
    </xf>
    <xf numFmtId="0" fontId="13" fillId="35" borderId="122" xfId="23" applyFont="1" applyFill="1" applyBorder="1" applyAlignment="1">
      <alignment horizontal="center" vertical="center" wrapText="1"/>
    </xf>
    <xf numFmtId="0" fontId="13" fillId="35" borderId="0" xfId="23" applyFont="1" applyFill="1" applyAlignment="1">
      <alignment horizontal="center" vertical="center" wrapText="1"/>
    </xf>
    <xf numFmtId="0" fontId="13" fillId="35" borderId="156" xfId="23" applyFont="1" applyFill="1" applyBorder="1" applyAlignment="1">
      <alignment horizontal="center" vertical="center" wrapText="1"/>
    </xf>
    <xf numFmtId="49" fontId="18" fillId="0" borderId="223" xfId="23" applyNumberFormat="1" applyFont="1" applyBorder="1" applyAlignment="1">
      <alignment horizontal="center" vertical="top"/>
    </xf>
    <xf numFmtId="49" fontId="18" fillId="0" borderId="14" xfId="23" applyNumberFormat="1" applyFont="1" applyBorder="1" applyAlignment="1">
      <alignment horizontal="center" vertical="top"/>
    </xf>
    <xf numFmtId="0" fontId="13" fillId="0" borderId="75" xfId="23" applyFont="1" applyBorder="1" applyAlignment="1">
      <alignment horizontal="left" vertical="top" wrapText="1"/>
    </xf>
    <xf numFmtId="0" fontId="13" fillId="0" borderId="6" xfId="23" applyFont="1" applyBorder="1" applyAlignment="1">
      <alignment horizontal="left" vertical="top" wrapText="1"/>
    </xf>
    <xf numFmtId="0" fontId="13" fillId="0" borderId="17" xfId="23" applyFont="1" applyBorder="1" applyAlignment="1">
      <alignment horizontal="left" vertical="top" wrapText="1"/>
    </xf>
    <xf numFmtId="49" fontId="13" fillId="25" borderId="126" xfId="23" applyNumberFormat="1" applyFont="1" applyFill="1" applyBorder="1" applyAlignment="1">
      <alignment horizontal="center" vertical="center" wrapText="1"/>
    </xf>
    <xf numFmtId="49" fontId="13" fillId="0" borderId="136" xfId="23" applyNumberFormat="1" applyFont="1" applyBorder="1" applyAlignment="1">
      <alignment horizontal="left" vertical="center" wrapText="1"/>
    </xf>
    <xf numFmtId="49" fontId="13" fillId="0" borderId="137" xfId="23" applyNumberFormat="1" applyFont="1" applyBorder="1" applyAlignment="1">
      <alignment horizontal="left" vertical="center" wrapText="1"/>
    </xf>
    <xf numFmtId="49" fontId="18" fillId="29" borderId="147" xfId="23" applyNumberFormat="1" applyFont="1" applyFill="1" applyBorder="1" applyAlignment="1">
      <alignment horizontal="center" vertical="top"/>
    </xf>
    <xf numFmtId="49" fontId="18" fillId="29" borderId="201" xfId="23" applyNumberFormat="1" applyFont="1" applyFill="1" applyBorder="1" applyAlignment="1">
      <alignment horizontal="center" vertical="top"/>
    </xf>
    <xf numFmtId="49" fontId="18" fillId="25" borderId="136" xfId="23" applyNumberFormat="1" applyFont="1" applyFill="1" applyBorder="1" applyAlignment="1">
      <alignment horizontal="center" vertical="top"/>
    </xf>
    <xf numFmtId="49" fontId="18" fillId="25" borderId="137" xfId="23" applyNumberFormat="1" applyFont="1" applyFill="1" applyBorder="1" applyAlignment="1">
      <alignment horizontal="center" vertical="top"/>
    </xf>
    <xf numFmtId="0" fontId="13" fillId="0" borderId="136" xfId="23" applyFont="1" applyBorder="1" applyAlignment="1">
      <alignment horizontal="left" vertical="top" wrapText="1"/>
    </xf>
    <xf numFmtId="0" fontId="13" fillId="0" borderId="137" xfId="23" applyFont="1" applyBorder="1" applyAlignment="1">
      <alignment horizontal="left" vertical="top" wrapText="1"/>
    </xf>
    <xf numFmtId="0" fontId="13" fillId="0" borderId="70" xfId="23" applyFont="1" applyBorder="1" applyAlignment="1">
      <alignment horizontal="left" vertical="center" wrapText="1"/>
    </xf>
    <xf numFmtId="0" fontId="13" fillId="0" borderId="59" xfId="23" applyFont="1" applyBorder="1" applyAlignment="1">
      <alignment horizontal="left" vertical="center" wrapText="1"/>
    </xf>
    <xf numFmtId="49" fontId="13" fillId="0" borderId="70" xfId="23" applyNumberFormat="1" applyFont="1" applyBorder="1" applyAlignment="1">
      <alignment horizontal="left" vertical="center" wrapText="1"/>
    </xf>
    <xf numFmtId="49" fontId="13" fillId="0" borderId="59" xfId="23" applyNumberFormat="1" applyFont="1" applyBorder="1" applyAlignment="1">
      <alignment horizontal="left" vertical="center" wrapText="1"/>
    </xf>
    <xf numFmtId="0" fontId="13" fillId="0" borderId="59" xfId="23" applyFont="1" applyBorder="1" applyAlignment="1">
      <alignment horizontal="center" vertical="center" wrapText="1"/>
    </xf>
    <xf numFmtId="0" fontId="13" fillId="0" borderId="136" xfId="23" applyFont="1" applyBorder="1" applyAlignment="1">
      <alignment horizontal="center" vertical="center" wrapText="1"/>
    </xf>
    <xf numFmtId="0" fontId="13" fillId="0" borderId="137" xfId="23" applyFont="1" applyBorder="1" applyAlignment="1">
      <alignment horizontal="center" vertical="center" wrapText="1"/>
    </xf>
    <xf numFmtId="49" fontId="18" fillId="29" borderId="242" xfId="23" applyNumberFormat="1" applyFont="1" applyFill="1" applyBorder="1" applyAlignment="1">
      <alignment horizontal="right" vertical="top"/>
    </xf>
    <xf numFmtId="49" fontId="18" fillId="29" borderId="243" xfId="23" applyNumberFormat="1" applyFont="1" applyFill="1" applyBorder="1" applyAlignment="1">
      <alignment horizontal="right" vertical="top"/>
    </xf>
    <xf numFmtId="49" fontId="18" fillId="29" borderId="244" xfId="23" applyNumberFormat="1" applyFont="1" applyFill="1" applyBorder="1" applyAlignment="1">
      <alignment horizontal="right" vertical="top"/>
    </xf>
    <xf numFmtId="0" fontId="13" fillId="0" borderId="49" xfId="23" applyFont="1" applyBorder="1" applyAlignment="1">
      <alignment horizontal="left" vertical="center" wrapText="1"/>
    </xf>
    <xf numFmtId="49" fontId="18" fillId="29" borderId="196" xfId="23" applyNumberFormat="1" applyFont="1" applyFill="1" applyBorder="1" applyAlignment="1">
      <alignment horizontal="center" vertical="top"/>
    </xf>
    <xf numFmtId="49" fontId="18" fillId="29" borderId="197" xfId="23" applyNumberFormat="1" applyFont="1" applyFill="1" applyBorder="1" applyAlignment="1">
      <alignment horizontal="center" vertical="top"/>
    </xf>
    <xf numFmtId="49" fontId="18" fillId="29" borderId="198" xfId="23" applyNumberFormat="1" applyFont="1" applyFill="1" applyBorder="1" applyAlignment="1">
      <alignment horizontal="center" vertical="top"/>
    </xf>
    <xf numFmtId="0" fontId="13" fillId="0" borderId="70" xfId="23" applyFont="1" applyBorder="1" applyAlignment="1">
      <alignment horizontal="center" vertical="center" wrapText="1"/>
    </xf>
    <xf numFmtId="0" fontId="13" fillId="0" borderId="49" xfId="23" applyFont="1" applyBorder="1" applyAlignment="1">
      <alignment horizontal="center" vertical="center" wrapText="1"/>
    </xf>
    <xf numFmtId="49" fontId="13" fillId="0" borderId="132" xfId="23" applyNumberFormat="1" applyFont="1" applyBorder="1" applyAlignment="1">
      <alignment horizontal="left" vertical="center" wrapText="1"/>
    </xf>
    <xf numFmtId="49" fontId="13" fillId="0" borderId="126" xfId="23" applyNumberFormat="1" applyFont="1" applyBorder="1" applyAlignment="1">
      <alignment horizontal="left" vertical="center" wrapText="1"/>
    </xf>
    <xf numFmtId="49" fontId="13" fillId="0" borderId="121" xfId="23" applyNumberFormat="1" applyFont="1" applyBorder="1" applyAlignment="1">
      <alignment horizontal="left" vertical="center" wrapText="1"/>
    </xf>
    <xf numFmtId="49" fontId="13" fillId="0" borderId="63" xfId="23" applyNumberFormat="1" applyFont="1" applyBorder="1" applyAlignment="1">
      <alignment horizontal="center" vertical="center" wrapText="1"/>
    </xf>
    <xf numFmtId="49" fontId="13" fillId="0" borderId="0" xfId="23" applyNumberFormat="1" applyFont="1" applyAlignment="1">
      <alignment horizontal="center" vertical="center" wrapText="1"/>
    </xf>
    <xf numFmtId="49" fontId="13" fillId="0" borderId="64" xfId="23" applyNumberFormat="1" applyFont="1" applyBorder="1" applyAlignment="1">
      <alignment horizontal="center" vertical="center" wrapText="1"/>
    </xf>
    <xf numFmtId="49" fontId="18" fillId="30" borderId="186" xfId="23" applyNumberFormat="1" applyFont="1" applyFill="1" applyBorder="1" applyAlignment="1">
      <alignment horizontal="center" vertical="top"/>
    </xf>
    <xf numFmtId="49" fontId="18" fillId="30" borderId="131" xfId="23" applyNumberFormat="1" applyFont="1" applyFill="1" applyBorder="1" applyAlignment="1">
      <alignment horizontal="center" vertical="top"/>
    </xf>
    <xf numFmtId="49" fontId="18" fillId="29" borderId="166" xfId="23" applyNumberFormat="1" applyFont="1" applyFill="1" applyBorder="1" applyAlignment="1">
      <alignment horizontal="center" vertical="top"/>
    </xf>
    <xf numFmtId="49" fontId="18" fillId="35" borderId="132" xfId="23" applyNumberFormat="1" applyFont="1" applyFill="1" applyBorder="1" applyAlignment="1">
      <alignment horizontal="center" vertical="top"/>
    </xf>
    <xf numFmtId="0" fontId="13" fillId="35" borderId="162" xfId="23" applyFont="1" applyFill="1" applyBorder="1" applyAlignment="1">
      <alignment horizontal="left" vertical="top" wrapText="1"/>
    </xf>
    <xf numFmtId="0" fontId="13" fillId="35" borderId="166" xfId="23" applyFont="1" applyFill="1" applyBorder="1" applyAlignment="1">
      <alignment horizontal="left" vertical="top" wrapText="1"/>
    </xf>
    <xf numFmtId="0" fontId="13" fillId="35" borderId="163" xfId="23" applyFont="1" applyFill="1" applyBorder="1" applyAlignment="1">
      <alignment horizontal="left" vertical="top" wrapText="1"/>
    </xf>
    <xf numFmtId="49" fontId="18" fillId="29" borderId="9" xfId="23" applyNumberFormat="1" applyFont="1" applyFill="1" applyBorder="1" applyAlignment="1">
      <alignment horizontal="center" vertical="top"/>
    </xf>
    <xf numFmtId="49" fontId="18" fillId="29" borderId="13" xfId="23" applyNumberFormat="1" applyFont="1" applyFill="1" applyBorder="1" applyAlignment="1">
      <alignment horizontal="center" vertical="top"/>
    </xf>
    <xf numFmtId="49" fontId="18" fillId="35" borderId="7" xfId="23" applyNumberFormat="1" applyFont="1" applyFill="1" applyBorder="1" applyAlignment="1">
      <alignment horizontal="center" vertical="top"/>
    </xf>
    <xf numFmtId="0" fontId="13" fillId="0" borderId="167" xfId="23" applyFont="1" applyBorder="1" applyAlignment="1">
      <alignment horizontal="center" vertical="center" wrapText="1"/>
    </xf>
    <xf numFmtId="0" fontId="13" fillId="0" borderId="180" xfId="23" applyFont="1" applyBorder="1" applyAlignment="1">
      <alignment horizontal="center" vertical="center" wrapText="1"/>
    </xf>
    <xf numFmtId="0" fontId="13" fillId="0" borderId="164" xfId="23" applyFont="1" applyBorder="1" applyAlignment="1">
      <alignment horizontal="center" vertical="center" wrapText="1"/>
    </xf>
    <xf numFmtId="0" fontId="13" fillId="0" borderId="155" xfId="23" applyFont="1" applyBorder="1" applyAlignment="1">
      <alignment horizontal="center" vertical="center" wrapText="1"/>
    </xf>
    <xf numFmtId="49" fontId="18" fillId="0" borderId="167" xfId="23" applyNumberFormat="1" applyFont="1" applyBorder="1" applyAlignment="1">
      <alignment horizontal="center" vertical="top"/>
    </xf>
    <xf numFmtId="49" fontId="18" fillId="0" borderId="180" xfId="23" applyNumberFormat="1" applyFont="1" applyBorder="1" applyAlignment="1">
      <alignment horizontal="center" vertical="top"/>
    </xf>
    <xf numFmtId="49" fontId="18" fillId="0" borderId="164" xfId="23" applyNumberFormat="1" applyFont="1" applyBorder="1" applyAlignment="1">
      <alignment horizontal="center" vertical="top"/>
    </xf>
    <xf numFmtId="49" fontId="18" fillId="0" borderId="155" xfId="23" applyNumberFormat="1" applyFont="1" applyBorder="1" applyAlignment="1">
      <alignment horizontal="center" vertical="top"/>
    </xf>
    <xf numFmtId="0" fontId="13" fillId="25" borderId="140" xfId="23" applyFont="1" applyFill="1" applyBorder="1" applyAlignment="1">
      <alignment horizontal="left" vertical="top" wrapText="1"/>
    </xf>
    <xf numFmtId="0" fontId="13" fillId="25" borderId="181" xfId="23" applyFont="1" applyFill="1" applyBorder="1" applyAlignment="1">
      <alignment horizontal="left" vertical="top" wrapText="1"/>
    </xf>
    <xf numFmtId="0" fontId="13" fillId="25" borderId="141" xfId="23" applyFont="1" applyFill="1" applyBorder="1" applyAlignment="1">
      <alignment horizontal="left" vertical="top" wrapText="1"/>
    </xf>
    <xf numFmtId="0" fontId="13" fillId="25" borderId="139" xfId="23" applyFont="1" applyFill="1" applyBorder="1" applyAlignment="1">
      <alignment horizontal="left" vertical="top" wrapText="1"/>
    </xf>
    <xf numFmtId="0" fontId="13" fillId="35" borderId="224" xfId="23" applyFont="1" applyFill="1" applyBorder="1" applyAlignment="1">
      <alignment horizontal="center" vertical="center" wrapText="1"/>
    </xf>
    <xf numFmtId="0" fontId="13" fillId="35" borderId="127" xfId="23" applyFont="1" applyFill="1" applyBorder="1" applyAlignment="1">
      <alignment horizontal="center" vertical="center" wrapText="1"/>
    </xf>
    <xf numFmtId="0" fontId="13" fillId="35" borderId="177" xfId="23" applyFont="1" applyFill="1" applyBorder="1" applyAlignment="1">
      <alignment horizontal="center" vertical="center" wrapText="1"/>
    </xf>
    <xf numFmtId="49" fontId="18" fillId="25" borderId="16" xfId="23" applyNumberFormat="1" applyFont="1" applyFill="1" applyBorder="1" applyAlignment="1">
      <alignment horizontal="center" vertical="top"/>
    </xf>
    <xf numFmtId="0" fontId="13" fillId="25" borderId="26" xfId="23" applyFont="1" applyFill="1" applyBorder="1" applyAlignment="1">
      <alignment horizontal="left" vertical="top" wrapText="1"/>
    </xf>
    <xf numFmtId="0" fontId="13" fillId="35" borderId="32" xfId="23" applyFont="1" applyFill="1" applyBorder="1" applyAlignment="1">
      <alignment horizontal="left" vertical="center" wrapText="1"/>
    </xf>
    <xf numFmtId="0" fontId="13" fillId="35" borderId="33" xfId="23" applyFont="1" applyFill="1" applyBorder="1" applyAlignment="1">
      <alignment horizontal="left" vertical="center" wrapText="1"/>
    </xf>
    <xf numFmtId="0" fontId="13" fillId="35" borderId="34" xfId="23" applyFont="1" applyFill="1" applyBorder="1" applyAlignment="1">
      <alignment horizontal="left" vertical="center" wrapText="1"/>
    </xf>
    <xf numFmtId="49" fontId="13" fillId="35" borderId="136" xfId="23" applyNumberFormat="1" applyFont="1" applyFill="1" applyBorder="1" applyAlignment="1">
      <alignment horizontal="left" vertical="center" wrapText="1"/>
    </xf>
    <xf numFmtId="49" fontId="13" fillId="35" borderId="137" xfId="23" applyNumberFormat="1" applyFont="1" applyFill="1" applyBorder="1" applyAlignment="1">
      <alignment horizontal="left" vertical="center" wrapText="1"/>
    </xf>
    <xf numFmtId="49" fontId="13" fillId="35" borderId="138" xfId="23" applyNumberFormat="1" applyFont="1" applyFill="1" applyBorder="1" applyAlignment="1">
      <alignment horizontal="left" vertical="center" wrapText="1"/>
    </xf>
    <xf numFmtId="49" fontId="13" fillId="35" borderId="132" xfId="23" quotePrefix="1" applyNumberFormat="1" applyFont="1" applyFill="1" applyBorder="1" applyAlignment="1">
      <alignment horizontal="center" vertical="center"/>
    </xf>
    <xf numFmtId="49" fontId="13" fillId="35" borderId="126" xfId="23" applyNumberFormat="1" applyFont="1" applyFill="1" applyBorder="1" applyAlignment="1">
      <alignment horizontal="center" vertical="center"/>
    </xf>
    <xf numFmtId="49" fontId="13" fillId="35" borderId="138" xfId="23" applyNumberFormat="1" applyFont="1" applyFill="1" applyBorder="1" applyAlignment="1">
      <alignment horizontal="center" vertical="center"/>
    </xf>
    <xf numFmtId="1" fontId="13" fillId="0" borderId="205" xfId="0" applyNumberFormat="1" applyFont="1" applyBorder="1" applyAlignment="1">
      <alignment horizontal="left" vertical="center" wrapText="1"/>
    </xf>
    <xf numFmtId="1" fontId="13" fillId="0" borderId="181" xfId="0" applyNumberFormat="1" applyFont="1" applyBorder="1" applyAlignment="1">
      <alignment horizontal="left" vertical="center" wrapText="1"/>
    </xf>
    <xf numFmtId="1" fontId="13" fillId="0" borderId="0" xfId="0" applyNumberFormat="1" applyFont="1" applyAlignment="1">
      <alignment horizontal="left" vertical="center" wrapText="1"/>
    </xf>
    <xf numFmtId="0" fontId="13" fillId="35" borderId="70" xfId="23" applyFont="1" applyFill="1" applyBorder="1" applyAlignment="1">
      <alignment horizontal="left" vertical="center" wrapText="1"/>
    </xf>
    <xf numFmtId="0" fontId="13" fillId="35" borderId="49" xfId="23" applyFont="1" applyFill="1" applyBorder="1" applyAlignment="1">
      <alignment horizontal="left" vertical="center" wrapText="1"/>
    </xf>
    <xf numFmtId="49" fontId="13" fillId="0" borderId="136" xfId="23" applyNumberFormat="1" applyFont="1" applyBorder="1" applyAlignment="1">
      <alignment horizontal="center" vertical="center" wrapText="1"/>
    </xf>
    <xf numFmtId="49" fontId="13" fillId="0" borderId="137" xfId="23" applyNumberFormat="1" applyFont="1" applyBorder="1" applyAlignment="1">
      <alignment horizontal="center" vertical="center" wrapText="1"/>
    </xf>
    <xf numFmtId="49" fontId="13" fillId="0" borderId="32" xfId="23" applyNumberFormat="1" applyFont="1" applyBorder="1" applyAlignment="1">
      <alignment horizontal="center" vertical="center" wrapText="1"/>
    </xf>
    <xf numFmtId="49" fontId="13" fillId="0" borderId="33" xfId="23" applyNumberFormat="1" applyFont="1" applyBorder="1" applyAlignment="1">
      <alignment horizontal="center" vertical="center" wrapText="1"/>
    </xf>
    <xf numFmtId="49" fontId="13" fillId="0" borderId="49" xfId="23" applyNumberFormat="1" applyFont="1" applyBorder="1" applyAlignment="1">
      <alignment horizontal="center" vertical="center" wrapText="1"/>
    </xf>
    <xf numFmtId="1" fontId="13" fillId="0" borderId="139" xfId="0" applyNumberFormat="1" applyFont="1" applyBorder="1" applyAlignment="1">
      <alignment horizontal="left" vertical="center" wrapText="1"/>
    </xf>
    <xf numFmtId="1" fontId="13" fillId="0" borderId="140" xfId="0" applyNumberFormat="1" applyFont="1" applyBorder="1" applyAlignment="1">
      <alignment horizontal="left" vertical="center" wrapText="1"/>
    </xf>
    <xf numFmtId="1" fontId="13" fillId="0" borderId="135" xfId="0" applyNumberFormat="1" applyFont="1" applyBorder="1" applyAlignment="1">
      <alignment horizontal="left" vertical="center" wrapText="1"/>
    </xf>
    <xf numFmtId="0" fontId="13" fillId="25" borderId="136" xfId="23" applyFont="1" applyFill="1" applyBorder="1" applyAlignment="1">
      <alignment horizontal="center" vertical="center" wrapText="1"/>
    </xf>
    <xf numFmtId="0" fontId="13" fillId="25" borderId="137" xfId="23" applyFont="1" applyFill="1" applyBorder="1" applyAlignment="1">
      <alignment horizontal="center" vertical="center" wrapText="1"/>
    </xf>
    <xf numFmtId="49" fontId="18" fillId="30" borderId="208" xfId="23" applyNumberFormat="1" applyFont="1" applyFill="1" applyBorder="1" applyAlignment="1">
      <alignment horizontal="center" vertical="top"/>
    </xf>
    <xf numFmtId="49" fontId="18" fillId="0" borderId="136" xfId="23" applyNumberFormat="1" applyFont="1" applyBorder="1" applyAlignment="1">
      <alignment horizontal="center" vertical="top"/>
    </xf>
    <xf numFmtId="49" fontId="18" fillId="0" borderId="138" xfId="23" applyNumberFormat="1" applyFont="1" applyBorder="1" applyAlignment="1">
      <alignment horizontal="center" vertical="top"/>
    </xf>
    <xf numFmtId="0" fontId="13" fillId="0" borderId="138" xfId="23" applyFont="1" applyBorder="1" applyAlignment="1">
      <alignment horizontal="left" vertical="top" wrapText="1"/>
    </xf>
    <xf numFmtId="0" fontId="13" fillId="25" borderId="138" xfId="23" applyFont="1" applyFill="1" applyBorder="1" applyAlignment="1">
      <alignment horizontal="center" vertical="center" wrapText="1"/>
    </xf>
    <xf numFmtId="0" fontId="13" fillId="25" borderId="136" xfId="23" applyFont="1" applyFill="1" applyBorder="1" applyAlignment="1">
      <alignment horizontal="left" vertical="center" wrapText="1"/>
    </xf>
    <xf numFmtId="0" fontId="13" fillId="25" borderId="138" xfId="23" applyFont="1" applyFill="1" applyBorder="1" applyAlignment="1">
      <alignment horizontal="left" vertical="center" wrapText="1"/>
    </xf>
    <xf numFmtId="49" fontId="13" fillId="25" borderId="136" xfId="23" applyNumberFormat="1" applyFont="1" applyFill="1" applyBorder="1" applyAlignment="1">
      <alignment horizontal="left" vertical="center" wrapText="1"/>
    </xf>
    <xf numFmtId="49" fontId="13" fillId="25" borderId="138" xfId="23" applyNumberFormat="1" applyFont="1" applyFill="1" applyBorder="1" applyAlignment="1">
      <alignment horizontal="left" vertical="center" wrapText="1"/>
    </xf>
    <xf numFmtId="49" fontId="13" fillId="25" borderId="132" xfId="23" applyNumberFormat="1" applyFont="1" applyFill="1" applyBorder="1" applyAlignment="1">
      <alignment horizontal="center" vertical="center"/>
    </xf>
    <xf numFmtId="49" fontId="13" fillId="25" borderId="138" xfId="23" applyNumberFormat="1" applyFont="1" applyFill="1" applyBorder="1" applyAlignment="1">
      <alignment horizontal="center" vertical="center"/>
    </xf>
    <xf numFmtId="0" fontId="13" fillId="25" borderId="137" xfId="23" applyFont="1" applyFill="1" applyBorder="1" applyAlignment="1">
      <alignment horizontal="left" vertical="center" wrapText="1"/>
    </xf>
    <xf numFmtId="49" fontId="13" fillId="25" borderId="126" xfId="23" applyNumberFormat="1" applyFont="1" applyFill="1" applyBorder="1" applyAlignment="1">
      <alignment horizontal="center" vertical="center"/>
    </xf>
    <xf numFmtId="49" fontId="13" fillId="25" borderId="137" xfId="23" applyNumberFormat="1" applyFont="1" applyFill="1" applyBorder="1" applyAlignment="1">
      <alignment horizontal="center" vertical="center"/>
    </xf>
    <xf numFmtId="49" fontId="18" fillId="29" borderId="34" xfId="23" applyNumberFormat="1" applyFont="1" applyFill="1" applyBorder="1" applyAlignment="1">
      <alignment horizontal="right" vertical="top"/>
    </xf>
    <xf numFmtId="49" fontId="18" fillId="29" borderId="64" xfId="23" applyNumberFormat="1" applyFont="1" applyFill="1" applyBorder="1" applyAlignment="1">
      <alignment horizontal="right" vertical="top"/>
    </xf>
    <xf numFmtId="49" fontId="18" fillId="29" borderId="86" xfId="23" applyNumberFormat="1" applyFont="1" applyFill="1" applyBorder="1" applyAlignment="1">
      <alignment horizontal="right" vertical="top"/>
    </xf>
    <xf numFmtId="49" fontId="18" fillId="30" borderId="14" xfId="23" applyNumberFormat="1" applyFont="1" applyFill="1" applyBorder="1" applyAlignment="1">
      <alignment horizontal="right" vertical="top"/>
    </xf>
    <xf numFmtId="49" fontId="18" fillId="30" borderId="15" xfId="23" applyNumberFormat="1" applyFont="1" applyFill="1" applyBorder="1" applyAlignment="1">
      <alignment horizontal="right" vertical="top"/>
    </xf>
    <xf numFmtId="49" fontId="18" fillId="31" borderId="305" xfId="23" applyNumberFormat="1" applyFont="1" applyFill="1" applyBorder="1" applyAlignment="1">
      <alignment horizontal="right" vertical="top"/>
    </xf>
    <xf numFmtId="49" fontId="18" fillId="0" borderId="147" xfId="23" applyNumberFormat="1" applyFont="1" applyBorder="1" applyAlignment="1">
      <alignment horizontal="center" vertical="top"/>
    </xf>
    <xf numFmtId="49" fontId="18" fillId="0" borderId="201" xfId="23" applyNumberFormat="1" applyFont="1" applyBorder="1" applyAlignment="1">
      <alignment horizontal="center" vertical="top"/>
    </xf>
    <xf numFmtId="49" fontId="18" fillId="0" borderId="137" xfId="23" applyNumberFormat="1" applyFont="1" applyBorder="1" applyAlignment="1">
      <alignment horizontal="center" vertical="top"/>
    </xf>
    <xf numFmtId="49" fontId="18" fillId="30" borderId="74" xfId="23" applyNumberFormat="1" applyFont="1" applyFill="1" applyBorder="1" applyAlignment="1">
      <alignment horizontal="center" vertical="top"/>
    </xf>
    <xf numFmtId="49" fontId="18" fillId="30" borderId="51" xfId="23" applyNumberFormat="1" applyFont="1" applyFill="1" applyBorder="1" applyAlignment="1">
      <alignment horizontal="center" vertical="top"/>
    </xf>
    <xf numFmtId="49" fontId="13" fillId="0" borderId="59" xfId="23" applyNumberFormat="1" applyFont="1" applyBorder="1" applyAlignment="1">
      <alignment horizontal="center" vertical="center" wrapText="1"/>
    </xf>
    <xf numFmtId="49" fontId="13" fillId="0" borderId="132" xfId="23" applyNumberFormat="1" applyFont="1" applyBorder="1" applyAlignment="1">
      <alignment horizontal="center" vertical="center"/>
    </xf>
    <xf numFmtId="49" fontId="13" fillId="0" borderId="126" xfId="23" applyNumberFormat="1" applyFont="1" applyBorder="1" applyAlignment="1">
      <alignment horizontal="center" vertical="center"/>
    </xf>
    <xf numFmtId="49" fontId="13" fillId="0" borderId="137" xfId="23" applyNumberFormat="1" applyFont="1" applyBorder="1" applyAlignment="1">
      <alignment horizontal="center" vertical="center"/>
    </xf>
    <xf numFmtId="49" fontId="13" fillId="0" borderId="70" xfId="23" quotePrefix="1" applyNumberFormat="1" applyFont="1" applyBorder="1" applyAlignment="1">
      <alignment horizontal="center" vertical="center"/>
    </xf>
    <xf numFmtId="49" fontId="13" fillId="0" borderId="34" xfId="23" applyNumberFormat="1" applyFont="1" applyBorder="1" applyAlignment="1">
      <alignment horizontal="center" vertical="center"/>
    </xf>
    <xf numFmtId="49" fontId="13" fillId="25" borderId="70" xfId="23" applyNumberFormat="1" applyFont="1" applyFill="1" applyBorder="1" applyAlignment="1">
      <alignment horizontal="center" vertical="center"/>
    </xf>
    <xf numFmtId="49" fontId="13" fillId="25" borderId="34" xfId="23" applyNumberFormat="1" applyFont="1" applyFill="1" applyBorder="1" applyAlignment="1">
      <alignment horizontal="center" vertical="center"/>
    </xf>
    <xf numFmtId="49" fontId="13" fillId="35" borderId="70" xfId="23" quotePrefix="1" applyNumberFormat="1" applyFont="1" applyFill="1" applyBorder="1" applyAlignment="1">
      <alignment horizontal="center" vertical="center"/>
    </xf>
    <xf numFmtId="49" fontId="13" fillId="35" borderId="34" xfId="23" applyNumberFormat="1" applyFont="1" applyFill="1" applyBorder="1" applyAlignment="1">
      <alignment horizontal="center" vertical="center"/>
    </xf>
    <xf numFmtId="49" fontId="13" fillId="0" borderId="70" xfId="23" applyNumberFormat="1" applyFont="1" applyBorder="1" applyAlignment="1">
      <alignment horizontal="center" vertical="center"/>
    </xf>
    <xf numFmtId="49" fontId="18" fillId="30" borderId="104" xfId="23" applyNumberFormat="1" applyFont="1" applyFill="1" applyBorder="1" applyAlignment="1">
      <alignment horizontal="center" vertical="top"/>
    </xf>
    <xf numFmtId="49" fontId="18" fillId="29" borderId="43" xfId="23" applyNumberFormat="1" applyFont="1" applyFill="1" applyBorder="1" applyAlignment="1">
      <alignment horizontal="center" vertical="top"/>
    </xf>
    <xf numFmtId="49" fontId="18" fillId="0" borderId="43" xfId="23" applyNumberFormat="1" applyFont="1" applyBorder="1" applyAlignment="1">
      <alignment horizontal="center" vertical="top"/>
    </xf>
    <xf numFmtId="49" fontId="18" fillId="0" borderId="13" xfId="23" applyNumberFormat="1" applyFont="1" applyBorder="1" applyAlignment="1">
      <alignment horizontal="center" vertical="top"/>
    </xf>
    <xf numFmtId="0" fontId="13" fillId="0" borderId="97" xfId="0" applyFont="1" applyBorder="1" applyAlignment="1">
      <alignment horizontal="center" textRotation="90"/>
    </xf>
    <xf numFmtId="0" fontId="13" fillId="0" borderId="47" xfId="0" applyFont="1" applyBorder="1" applyAlignment="1">
      <alignment horizontal="center" textRotation="90"/>
    </xf>
    <xf numFmtId="0" fontId="13" fillId="0" borderId="102" xfId="0" applyFont="1" applyBorder="1" applyAlignment="1">
      <alignment horizontal="center" textRotation="90"/>
    </xf>
    <xf numFmtId="0" fontId="13" fillId="0" borderId="22" xfId="0" applyFont="1" applyBorder="1" applyAlignment="1">
      <alignment horizontal="center" textRotation="90"/>
    </xf>
    <xf numFmtId="0" fontId="13" fillId="0" borderId="84" xfId="23" applyFont="1" applyBorder="1" applyAlignment="1">
      <alignment horizontal="left" vertical="top" wrapText="1"/>
    </xf>
    <xf numFmtId="0" fontId="13" fillId="0" borderId="79" xfId="23" applyFont="1" applyBorder="1" applyAlignment="1">
      <alignment horizontal="left" vertical="top" wrapText="1"/>
    </xf>
    <xf numFmtId="49" fontId="13" fillId="25" borderId="70" xfId="23" quotePrefix="1" applyNumberFormat="1" applyFont="1" applyFill="1" applyBorder="1" applyAlignment="1">
      <alignment horizontal="center" vertical="center"/>
    </xf>
    <xf numFmtId="0" fontId="13" fillId="0" borderId="32" xfId="23" applyFont="1" applyBorder="1" applyAlignment="1">
      <alignment horizontal="left" vertical="center" wrapText="1"/>
    </xf>
    <xf numFmtId="0" fontId="13" fillId="0" borderId="33" xfId="23" applyFont="1" applyBorder="1" applyAlignment="1">
      <alignment horizontal="left" vertical="center" wrapText="1"/>
    </xf>
    <xf numFmtId="0" fontId="13" fillId="0" borderId="34" xfId="23" applyFont="1" applyBorder="1" applyAlignment="1">
      <alignment horizontal="left" vertical="center" wrapText="1"/>
    </xf>
    <xf numFmtId="49" fontId="13" fillId="0" borderId="49" xfId="23" applyNumberFormat="1" applyFont="1" applyBorder="1" applyAlignment="1">
      <alignment horizontal="left" vertical="center" wrapText="1"/>
    </xf>
    <xf numFmtId="49" fontId="13" fillId="0" borderId="70" xfId="23" applyNumberFormat="1" applyFont="1" applyBorder="1" applyAlignment="1">
      <alignment horizontal="center" vertical="center" wrapText="1"/>
    </xf>
    <xf numFmtId="49" fontId="13" fillId="0" borderId="34" xfId="23" applyNumberFormat="1" applyFont="1" applyBorder="1" applyAlignment="1">
      <alignment horizontal="center" vertical="center" wrapText="1"/>
    </xf>
    <xf numFmtId="49" fontId="13" fillId="0" borderId="59" xfId="23" applyNumberFormat="1" applyFont="1" applyBorder="1" applyAlignment="1">
      <alignment horizontal="center" vertical="center"/>
    </xf>
    <xf numFmtId="0" fontId="13" fillId="25" borderId="70" xfId="23" applyFont="1" applyFill="1" applyBorder="1" applyAlignment="1">
      <alignment horizontal="center" vertical="center" wrapText="1"/>
    </xf>
    <xf numFmtId="0" fontId="13" fillId="25" borderId="59" xfId="23" applyFont="1" applyFill="1" applyBorder="1" applyAlignment="1">
      <alignment horizontal="center" vertical="center" wrapText="1"/>
    </xf>
    <xf numFmtId="0" fontId="13" fillId="25" borderId="49" xfId="23" applyFont="1" applyFill="1" applyBorder="1" applyAlignment="1">
      <alignment horizontal="center" vertical="center" wrapText="1"/>
    </xf>
    <xf numFmtId="49" fontId="13" fillId="0" borderId="33" xfId="23" applyNumberFormat="1" applyFont="1" applyBorder="1" applyAlignment="1">
      <alignment horizontal="center" vertical="center"/>
    </xf>
    <xf numFmtId="49" fontId="13" fillId="25" borderId="59" xfId="23" applyNumberFormat="1" applyFont="1" applyFill="1" applyBorder="1" applyAlignment="1">
      <alignment horizontal="center" vertical="center"/>
    </xf>
    <xf numFmtId="49" fontId="18" fillId="29" borderId="16" xfId="23" applyNumberFormat="1" applyFont="1" applyFill="1" applyBorder="1" applyAlignment="1">
      <alignment horizontal="center" vertical="top"/>
    </xf>
    <xf numFmtId="49" fontId="18" fillId="29" borderId="15" xfId="23" applyNumberFormat="1" applyFont="1" applyFill="1" applyBorder="1" applyAlignment="1">
      <alignment horizontal="center" vertical="top"/>
    </xf>
    <xf numFmtId="49" fontId="18" fillId="35" borderId="13" xfId="23" applyNumberFormat="1" applyFont="1" applyFill="1" applyBorder="1" applyAlignment="1">
      <alignment horizontal="center" vertical="top"/>
    </xf>
    <xf numFmtId="49" fontId="18" fillId="35" borderId="11" xfId="23" applyNumberFormat="1" applyFont="1" applyFill="1" applyBorder="1" applyAlignment="1">
      <alignment horizontal="center" vertical="top"/>
    </xf>
    <xf numFmtId="0" fontId="13" fillId="0" borderId="26" xfId="23" applyFont="1" applyBorder="1" applyAlignment="1">
      <alignment horizontal="left" vertical="top" wrapText="1"/>
    </xf>
    <xf numFmtId="0" fontId="13" fillId="0" borderId="8" xfId="23" applyFont="1" applyBorder="1" applyAlignment="1">
      <alignment horizontal="left" vertical="top" wrapText="1"/>
    </xf>
    <xf numFmtId="49" fontId="13" fillId="25" borderId="59" xfId="23" applyNumberFormat="1" applyFont="1" applyFill="1" applyBorder="1" applyAlignment="1">
      <alignment horizontal="left" vertical="center" wrapText="1"/>
    </xf>
    <xf numFmtId="49" fontId="13" fillId="25" borderId="49" xfId="23" applyNumberFormat="1" applyFont="1" applyFill="1" applyBorder="1" applyAlignment="1">
      <alignment horizontal="left" vertical="center" wrapText="1"/>
    </xf>
    <xf numFmtId="49" fontId="13" fillId="25" borderId="70" xfId="23" applyNumberFormat="1" applyFont="1" applyFill="1" applyBorder="1" applyAlignment="1">
      <alignment horizontal="left" vertical="center" wrapText="1"/>
    </xf>
    <xf numFmtId="49" fontId="18" fillId="25" borderId="13" xfId="23" applyNumberFormat="1" applyFont="1" applyFill="1" applyBorder="1" applyAlignment="1">
      <alignment horizontal="center" vertical="top"/>
    </xf>
    <xf numFmtId="0" fontId="13" fillId="25" borderId="12" xfId="23" applyFont="1" applyFill="1" applyBorder="1" applyAlignment="1">
      <alignment horizontal="left" vertical="top" wrapText="1"/>
    </xf>
    <xf numFmtId="0" fontId="13" fillId="25" borderId="59" xfId="23" applyFont="1" applyFill="1" applyBorder="1" applyAlignment="1">
      <alignment horizontal="left" vertical="center" wrapText="1"/>
    </xf>
    <xf numFmtId="0" fontId="13" fillId="25" borderId="49" xfId="23" applyFont="1" applyFill="1" applyBorder="1" applyAlignment="1">
      <alignment horizontal="left" vertical="center" wrapText="1"/>
    </xf>
    <xf numFmtId="0" fontId="13" fillId="35" borderId="59" xfId="23" applyFont="1" applyFill="1" applyBorder="1" applyAlignment="1">
      <alignment horizontal="left" vertical="center" wrapText="1"/>
    </xf>
    <xf numFmtId="49" fontId="18" fillId="30" borderId="221" xfId="23" applyNumberFormat="1" applyFont="1" applyFill="1" applyBorder="1" applyAlignment="1">
      <alignment horizontal="center" vertical="top"/>
    </xf>
    <xf numFmtId="49" fontId="18" fillId="30" borderId="94" xfId="23" applyNumberFormat="1" applyFont="1" applyFill="1" applyBorder="1" applyAlignment="1">
      <alignment horizontal="center" vertical="top"/>
    </xf>
    <xf numFmtId="49" fontId="18" fillId="30" borderId="222" xfId="23" applyNumberFormat="1" applyFont="1" applyFill="1" applyBorder="1" applyAlignment="1">
      <alignment horizontal="center" vertical="top"/>
    </xf>
    <xf numFmtId="0" fontId="13" fillId="25" borderId="6" xfId="23" applyFont="1" applyFill="1" applyBorder="1" applyAlignment="1">
      <alignment horizontal="left" vertical="top" wrapText="1"/>
    </xf>
    <xf numFmtId="49" fontId="13" fillId="35" borderId="126" xfId="23" applyNumberFormat="1" applyFont="1" applyFill="1" applyBorder="1" applyAlignment="1">
      <alignment horizontal="left" vertical="center" wrapText="1"/>
    </xf>
    <xf numFmtId="49" fontId="13" fillId="35" borderId="121" xfId="23" applyNumberFormat="1" applyFont="1" applyFill="1" applyBorder="1" applyAlignment="1">
      <alignment horizontal="left" vertical="center" wrapText="1"/>
    </xf>
    <xf numFmtId="49" fontId="13" fillId="25" borderId="137" xfId="23" applyNumberFormat="1" applyFont="1" applyFill="1" applyBorder="1" applyAlignment="1">
      <alignment horizontal="left" vertical="center" wrapText="1"/>
    </xf>
    <xf numFmtId="49" fontId="18" fillId="30" borderId="104" xfId="23" quotePrefix="1" applyNumberFormat="1" applyFont="1" applyFill="1" applyBorder="1" applyAlignment="1">
      <alignment horizontal="center" vertical="top"/>
    </xf>
    <xf numFmtId="49" fontId="18" fillId="29" borderId="96" xfId="23" quotePrefix="1" applyNumberFormat="1" applyFont="1" applyFill="1" applyBorder="1" applyAlignment="1">
      <alignment horizontal="center" vertical="top"/>
    </xf>
    <xf numFmtId="49" fontId="18" fillId="29" borderId="82" xfId="23" quotePrefix="1" applyNumberFormat="1" applyFont="1" applyFill="1" applyBorder="1" applyAlignment="1">
      <alignment horizontal="center" vertical="top"/>
    </xf>
    <xf numFmtId="49" fontId="18" fillId="0" borderId="16" xfId="23" applyNumberFormat="1" applyFont="1" applyBorder="1" applyAlignment="1">
      <alignment horizontal="center" vertical="top"/>
    </xf>
    <xf numFmtId="49" fontId="18" fillId="0" borderId="15" xfId="23" applyNumberFormat="1" applyFont="1" applyBorder="1" applyAlignment="1">
      <alignment horizontal="center" vertical="top"/>
    </xf>
    <xf numFmtId="0" fontId="13" fillId="25" borderId="8" xfId="23" applyFont="1" applyFill="1" applyBorder="1" applyAlignment="1">
      <alignment horizontal="left" vertical="top" wrapText="1"/>
    </xf>
    <xf numFmtId="49" fontId="18" fillId="30" borderId="276" xfId="23" applyNumberFormat="1" applyFont="1" applyFill="1" applyBorder="1" applyAlignment="1">
      <alignment horizontal="center" vertical="top"/>
    </xf>
    <xf numFmtId="49" fontId="18" fillId="29" borderId="60" xfId="23" applyNumberFormat="1" applyFont="1" applyFill="1" applyBorder="1" applyAlignment="1">
      <alignment horizontal="center" vertical="top"/>
    </xf>
    <xf numFmtId="49" fontId="18" fillId="25" borderId="9" xfId="23" applyNumberFormat="1" applyFont="1" applyFill="1" applyBorder="1" applyAlignment="1">
      <alignment horizontal="center" vertical="top"/>
    </xf>
    <xf numFmtId="0" fontId="14" fillId="0" borderId="147" xfId="23" applyFont="1" applyBorder="1" applyAlignment="1">
      <alignment horizontal="left" vertical="top" wrapText="1"/>
    </xf>
    <xf numFmtId="0" fontId="13" fillId="0" borderId="148" xfId="23" applyFont="1" applyBorder="1" applyAlignment="1">
      <alignment horizontal="left" vertical="top" wrapText="1"/>
    </xf>
    <xf numFmtId="0" fontId="13" fillId="0" borderId="149" xfId="23" applyFont="1" applyBorder="1" applyAlignment="1">
      <alignment horizontal="left" vertical="top" wrapText="1"/>
    </xf>
    <xf numFmtId="49" fontId="18" fillId="29" borderId="82" xfId="23" applyNumberFormat="1" applyFont="1" applyFill="1" applyBorder="1" applyAlignment="1">
      <alignment horizontal="center" vertical="top"/>
    </xf>
    <xf numFmtId="49" fontId="18" fillId="29" borderId="49" xfId="23" applyNumberFormat="1" applyFont="1" applyFill="1" applyBorder="1" applyAlignment="1">
      <alignment horizontal="center" vertical="top"/>
    </xf>
    <xf numFmtId="49" fontId="18" fillId="29" borderId="7" xfId="23" applyNumberFormat="1" applyFont="1" applyFill="1" applyBorder="1" applyAlignment="1">
      <alignment horizontal="center" vertical="top"/>
    </xf>
    <xf numFmtId="49" fontId="18" fillId="0" borderId="7" xfId="23" applyNumberFormat="1" applyFont="1" applyBorder="1" applyAlignment="1">
      <alignment horizontal="center" vertical="top"/>
    </xf>
    <xf numFmtId="49" fontId="18" fillId="0" borderId="9" xfId="23" applyNumberFormat="1" applyFont="1" applyBorder="1" applyAlignment="1">
      <alignment horizontal="center" vertical="top"/>
    </xf>
    <xf numFmtId="0" fontId="13" fillId="0" borderId="5" xfId="23" applyFont="1" applyBorder="1" applyAlignment="1">
      <alignment horizontal="left" vertical="top" wrapText="1"/>
    </xf>
    <xf numFmtId="0" fontId="13" fillId="25" borderId="78" xfId="23" applyFont="1" applyFill="1" applyBorder="1" applyAlignment="1">
      <alignment horizontal="left" vertical="top" wrapText="1"/>
    </xf>
    <xf numFmtId="0" fontId="13" fillId="25" borderId="79" xfId="23" applyFont="1" applyFill="1" applyBorder="1" applyAlignment="1">
      <alignment horizontal="left" vertical="top" wrapText="1"/>
    </xf>
    <xf numFmtId="49" fontId="18" fillId="29" borderId="96" xfId="23" applyNumberFormat="1" applyFont="1" applyFill="1" applyBorder="1" applyAlignment="1">
      <alignment horizontal="center" vertical="top"/>
    </xf>
    <xf numFmtId="49" fontId="18" fillId="30" borderId="67" xfId="23" applyNumberFormat="1" applyFont="1" applyFill="1" applyBorder="1" applyAlignment="1">
      <alignment horizontal="center" vertical="top"/>
    </xf>
    <xf numFmtId="49" fontId="18" fillId="30" borderId="52" xfId="23" applyNumberFormat="1" applyFont="1" applyFill="1" applyBorder="1" applyAlignment="1">
      <alignment horizontal="center" vertical="top"/>
    </xf>
    <xf numFmtId="49" fontId="18" fillId="29" borderId="11" xfId="23" applyNumberFormat="1" applyFont="1" applyFill="1" applyBorder="1" applyAlignment="1">
      <alignment horizontal="center" vertical="top"/>
    </xf>
    <xf numFmtId="49" fontId="18" fillId="30" borderId="49" xfId="23" applyNumberFormat="1" applyFont="1" applyFill="1" applyBorder="1" applyAlignment="1">
      <alignment horizontal="center" vertical="top"/>
    </xf>
    <xf numFmtId="49" fontId="18" fillId="0" borderId="70" xfId="23" applyNumberFormat="1" applyFont="1" applyBorder="1" applyAlignment="1">
      <alignment horizontal="center" vertical="top"/>
    </xf>
    <xf numFmtId="49" fontId="18" fillId="0" borderId="59" xfId="23" applyNumberFormat="1" applyFont="1" applyBorder="1" applyAlignment="1">
      <alignment horizontal="center" vertical="top"/>
    </xf>
    <xf numFmtId="49" fontId="18" fillId="0" borderId="49" xfId="23" applyNumberFormat="1" applyFont="1" applyBorder="1" applyAlignment="1">
      <alignment horizontal="center" vertical="top"/>
    </xf>
    <xf numFmtId="0" fontId="13" fillId="25" borderId="70" xfId="23" applyFont="1" applyFill="1" applyBorder="1" applyAlignment="1">
      <alignment horizontal="left" vertical="top" wrapText="1"/>
    </xf>
    <xf numFmtId="0" fontId="13" fillId="25" borderId="59" xfId="23" applyFont="1" applyFill="1" applyBorder="1" applyAlignment="1">
      <alignment horizontal="left" vertical="top" wrapText="1"/>
    </xf>
    <xf numFmtId="0" fontId="13" fillId="25" borderId="49" xfId="23" applyFont="1" applyFill="1" applyBorder="1" applyAlignment="1">
      <alignment horizontal="left" vertical="top" wrapText="1"/>
    </xf>
    <xf numFmtId="49" fontId="18" fillId="30" borderId="57" xfId="23" applyNumberFormat="1" applyFont="1" applyFill="1" applyBorder="1" applyAlignment="1">
      <alignment horizontal="center" vertical="top"/>
    </xf>
    <xf numFmtId="49" fontId="18" fillId="30" borderId="82" xfId="23" applyNumberFormat="1" applyFont="1" applyFill="1" applyBorder="1" applyAlignment="1">
      <alignment horizontal="center" vertical="top"/>
    </xf>
    <xf numFmtId="49" fontId="18" fillId="29" borderId="123" xfId="23" applyNumberFormat="1" applyFont="1" applyFill="1" applyBorder="1" applyAlignment="1">
      <alignment horizontal="center" vertical="top"/>
    </xf>
    <xf numFmtId="49" fontId="18" fillId="0" borderId="51" xfId="23" applyNumberFormat="1" applyFont="1" applyBorder="1" applyAlignment="1">
      <alignment horizontal="center" vertical="top"/>
    </xf>
    <xf numFmtId="49" fontId="18" fillId="0" borderId="67" xfId="23" applyNumberFormat="1" applyFont="1" applyBorder="1" applyAlignment="1">
      <alignment horizontal="center" vertical="top"/>
    </xf>
    <xf numFmtId="49" fontId="18" fillId="0" borderId="52" xfId="23" applyNumberFormat="1" applyFont="1" applyBorder="1" applyAlignment="1">
      <alignment horizontal="center" vertical="top"/>
    </xf>
    <xf numFmtId="0" fontId="13" fillId="0" borderId="78" xfId="23" applyFont="1" applyBorder="1" applyAlignment="1">
      <alignment horizontal="left" vertical="top" wrapText="1"/>
    </xf>
    <xf numFmtId="0" fontId="13" fillId="0" borderId="39" xfId="23" applyFont="1" applyBorder="1" applyAlignment="1">
      <alignment horizontal="left" vertical="top" wrapText="1"/>
    </xf>
    <xf numFmtId="49" fontId="14" fillId="0" borderId="32" xfId="23" quotePrefix="1" applyNumberFormat="1" applyFont="1" applyBorder="1" applyAlignment="1">
      <alignment horizontal="center" vertical="center"/>
    </xf>
    <xf numFmtId="49" fontId="14" fillId="0" borderId="33" xfId="23" quotePrefix="1" applyNumberFormat="1" applyFont="1" applyBorder="1" applyAlignment="1">
      <alignment horizontal="center" vertical="center"/>
    </xf>
    <xf numFmtId="49" fontId="14" fillId="0" borderId="34" xfId="23" quotePrefix="1" applyNumberFormat="1" applyFont="1" applyBorder="1" applyAlignment="1">
      <alignment horizontal="center" vertical="center"/>
    </xf>
    <xf numFmtId="0" fontId="13" fillId="35" borderId="39" xfId="23" applyFont="1" applyFill="1" applyBorder="1" applyAlignment="1">
      <alignment horizontal="left" vertical="top" wrapText="1"/>
    </xf>
    <xf numFmtId="0" fontId="13" fillId="35" borderId="79" xfId="23" applyFont="1" applyFill="1" applyBorder="1" applyAlignment="1">
      <alignment horizontal="left" vertical="top" wrapText="1"/>
    </xf>
    <xf numFmtId="0" fontId="13" fillId="35" borderId="49" xfId="23" applyFont="1" applyFill="1" applyBorder="1" applyAlignment="1">
      <alignment horizontal="center" vertical="center" wrapText="1"/>
    </xf>
    <xf numFmtId="0" fontId="13" fillId="25" borderId="70" xfId="23" applyFont="1" applyFill="1" applyBorder="1" applyAlignment="1">
      <alignment horizontal="left" vertical="center" wrapText="1"/>
    </xf>
    <xf numFmtId="49" fontId="18" fillId="37" borderId="76" xfId="23" applyNumberFormat="1" applyFont="1" applyFill="1" applyBorder="1" applyAlignment="1">
      <alignment horizontal="right" vertical="top"/>
    </xf>
    <xf numFmtId="49" fontId="18" fillId="37" borderId="77" xfId="23" applyNumberFormat="1" applyFont="1" applyFill="1" applyBorder="1" applyAlignment="1">
      <alignment horizontal="right" vertical="top"/>
    </xf>
    <xf numFmtId="49" fontId="18" fillId="37" borderId="65" xfId="23" applyNumberFormat="1" applyFont="1" applyFill="1" applyBorder="1" applyAlignment="1">
      <alignment horizontal="right" vertical="top"/>
    </xf>
    <xf numFmtId="49" fontId="13" fillId="35" borderId="59" xfId="23" applyNumberFormat="1" applyFont="1" applyFill="1" applyBorder="1" applyAlignment="1">
      <alignment horizontal="left" vertical="center" wrapText="1"/>
    </xf>
    <xf numFmtId="49" fontId="13" fillId="35" borderId="49" xfId="23" applyNumberFormat="1" applyFont="1" applyFill="1" applyBorder="1" applyAlignment="1">
      <alignment horizontal="left" vertical="center" wrapText="1"/>
    </xf>
    <xf numFmtId="49" fontId="36" fillId="30" borderId="219" xfId="0" applyNumberFormat="1" applyFont="1" applyFill="1" applyBorder="1" applyAlignment="1">
      <alignment horizontal="center" vertical="top"/>
    </xf>
    <xf numFmtId="49" fontId="36" fillId="30" borderId="318" xfId="0" applyNumberFormat="1" applyFont="1" applyFill="1" applyBorder="1" applyAlignment="1">
      <alignment horizontal="center" vertical="top"/>
    </xf>
    <xf numFmtId="0" fontId="18" fillId="31" borderId="129" xfId="0" applyFont="1" applyFill="1" applyBorder="1" applyAlignment="1">
      <alignment horizontal="left" vertical="top"/>
    </xf>
    <xf numFmtId="0" fontId="18" fillId="31" borderId="156" xfId="0" applyFont="1" applyFill="1" applyBorder="1" applyAlignment="1">
      <alignment horizontal="left" vertical="top"/>
    </xf>
    <xf numFmtId="0" fontId="18" fillId="31" borderId="217" xfId="0" applyFont="1" applyFill="1" applyBorder="1" applyAlignment="1">
      <alignment horizontal="left" vertical="top"/>
    </xf>
    <xf numFmtId="0" fontId="13" fillId="25" borderId="63" xfId="0" applyFont="1" applyFill="1" applyBorder="1" applyAlignment="1">
      <alignment horizontal="left" vertical="top" wrapText="1"/>
    </xf>
    <xf numFmtId="0" fontId="13" fillId="25" borderId="5" xfId="0" applyFont="1" applyFill="1" applyBorder="1" applyAlignment="1">
      <alignment horizontal="left" vertical="top" wrapText="1"/>
    </xf>
    <xf numFmtId="49" fontId="18" fillId="30" borderId="186" xfId="0" applyNumberFormat="1" applyFont="1" applyFill="1" applyBorder="1" applyAlignment="1">
      <alignment horizontal="center" vertical="top"/>
    </xf>
    <xf numFmtId="49" fontId="18" fillId="30" borderId="215" xfId="0" applyNumberFormat="1" applyFont="1" applyFill="1" applyBorder="1" applyAlignment="1">
      <alignment horizontal="center" vertical="top"/>
    </xf>
    <xf numFmtId="49" fontId="18" fillId="29" borderId="132" xfId="0" applyNumberFormat="1" applyFont="1" applyFill="1" applyBorder="1" applyAlignment="1">
      <alignment horizontal="center" vertical="top"/>
    </xf>
    <xf numFmtId="49" fontId="18" fillId="29" borderId="121" xfId="0" applyNumberFormat="1" applyFont="1" applyFill="1" applyBorder="1" applyAlignment="1">
      <alignment horizontal="center" vertical="top"/>
    </xf>
    <xf numFmtId="49" fontId="18" fillId="30" borderId="200" xfId="0" applyNumberFormat="1" applyFont="1" applyFill="1" applyBorder="1" applyAlignment="1">
      <alignment horizontal="center" vertical="top"/>
    </xf>
    <xf numFmtId="49" fontId="18" fillId="30" borderId="309" xfId="0" applyNumberFormat="1" applyFont="1" applyFill="1" applyBorder="1" applyAlignment="1">
      <alignment horizontal="center" vertical="top"/>
    </xf>
    <xf numFmtId="0" fontId="13" fillId="0" borderId="229" xfId="0" applyFont="1" applyBorder="1" applyAlignment="1">
      <alignment horizontal="left" vertical="top" wrapText="1"/>
    </xf>
    <xf numFmtId="49" fontId="18" fillId="30" borderId="68" xfId="0" applyNumberFormat="1" applyFont="1" applyFill="1" applyBorder="1" applyAlignment="1">
      <alignment horizontal="center" vertical="top"/>
    </xf>
    <xf numFmtId="49" fontId="36" fillId="29" borderId="263" xfId="0" applyNumberFormat="1" applyFont="1" applyFill="1" applyBorder="1" applyAlignment="1">
      <alignment horizontal="center" vertical="top"/>
    </xf>
    <xf numFmtId="49" fontId="36" fillId="29" borderId="11" xfId="0" applyNumberFormat="1" applyFont="1" applyFill="1" applyBorder="1" applyAlignment="1">
      <alignment horizontal="center" vertical="top"/>
    </xf>
    <xf numFmtId="49" fontId="18" fillId="29" borderId="39" xfId="0" applyNumberFormat="1" applyFont="1" applyFill="1" applyBorder="1" applyAlignment="1">
      <alignment horizontal="center" vertical="top"/>
    </xf>
    <xf numFmtId="49" fontId="18" fillId="29" borderId="61" xfId="0" applyNumberFormat="1" applyFont="1" applyFill="1" applyBorder="1" applyAlignment="1">
      <alignment horizontal="center" vertical="top"/>
    </xf>
    <xf numFmtId="0" fontId="13" fillId="0" borderId="34" xfId="0" applyFont="1" applyBorder="1" applyAlignment="1">
      <alignment horizontal="left" vertical="top" wrapText="1"/>
    </xf>
    <xf numFmtId="49" fontId="13" fillId="0" borderId="70" xfId="0" applyNumberFormat="1" applyFont="1" applyBorder="1" applyAlignment="1">
      <alignment horizontal="center" vertical="center" wrapText="1"/>
    </xf>
    <xf numFmtId="0" fontId="11" fillId="0" borderId="264" xfId="0" applyFont="1" applyBorder="1" applyAlignment="1">
      <alignment horizontal="left" vertical="top" wrapText="1"/>
    </xf>
    <xf numFmtId="0" fontId="11" fillId="0" borderId="39" xfId="0" applyFont="1" applyBorder="1" applyAlignment="1">
      <alignment horizontal="left" vertical="top" wrapText="1"/>
    </xf>
    <xf numFmtId="49" fontId="36" fillId="0" borderId="263" xfId="0" applyNumberFormat="1" applyFont="1" applyBorder="1" applyAlignment="1">
      <alignment horizontal="center" vertical="top"/>
    </xf>
    <xf numFmtId="49" fontId="36" fillId="0" borderId="11" xfId="0" applyNumberFormat="1" applyFont="1" applyBorder="1" applyAlignment="1">
      <alignment horizontal="center" vertical="top"/>
    </xf>
    <xf numFmtId="0" fontId="11" fillId="0" borderId="59" xfId="0" applyFont="1" applyBorder="1" applyAlignment="1">
      <alignment horizontal="left" vertical="center" wrapText="1"/>
    </xf>
    <xf numFmtId="49" fontId="13" fillId="25" borderId="136" xfId="0" applyNumberFormat="1" applyFont="1" applyFill="1" applyBorder="1" applyAlignment="1">
      <alignment horizontal="left" vertical="top" wrapText="1"/>
    </xf>
    <xf numFmtId="49" fontId="13" fillId="25" borderId="138" xfId="0" applyNumberFormat="1" applyFont="1" applyFill="1" applyBorder="1" applyAlignment="1">
      <alignment horizontal="left" vertical="top" wrapText="1"/>
    </xf>
    <xf numFmtId="49" fontId="13" fillId="25" borderId="132" xfId="0" applyNumberFormat="1" applyFont="1" applyFill="1" applyBorder="1" applyAlignment="1">
      <alignment horizontal="center" vertical="center"/>
    </xf>
    <xf numFmtId="49" fontId="13" fillId="25" borderId="121" xfId="0" applyNumberFormat="1" applyFont="1" applyFill="1" applyBorder="1" applyAlignment="1">
      <alignment horizontal="center" vertical="center"/>
    </xf>
    <xf numFmtId="49" fontId="18" fillId="29" borderId="10" xfId="0" applyNumberFormat="1" applyFont="1" applyFill="1" applyBorder="1" applyAlignment="1">
      <alignment horizontal="center" vertical="top"/>
    </xf>
    <xf numFmtId="49" fontId="18" fillId="29" borderId="89" xfId="0" applyNumberFormat="1" applyFont="1" applyFill="1" applyBorder="1" applyAlignment="1">
      <alignment horizontal="center" vertical="top"/>
    </xf>
    <xf numFmtId="49" fontId="18" fillId="30" borderId="195" xfId="0" applyNumberFormat="1" applyFont="1" applyFill="1" applyBorder="1" applyAlignment="1">
      <alignment horizontal="center" vertical="top"/>
    </xf>
    <xf numFmtId="49" fontId="18" fillId="25" borderId="137" xfId="0" applyNumberFormat="1" applyFont="1" applyFill="1" applyBorder="1" applyAlignment="1">
      <alignment horizontal="center" vertical="top"/>
    </xf>
    <xf numFmtId="49" fontId="13" fillId="25" borderId="137" xfId="0" applyNumberFormat="1" applyFont="1" applyFill="1" applyBorder="1" applyAlignment="1">
      <alignment horizontal="left" vertical="top" wrapText="1"/>
    </xf>
    <xf numFmtId="49" fontId="13" fillId="25" borderId="136" xfId="0" applyNumberFormat="1" applyFont="1" applyFill="1" applyBorder="1" applyAlignment="1">
      <alignment horizontal="center" vertical="center"/>
    </xf>
    <xf numFmtId="49" fontId="13" fillId="25" borderId="137" xfId="0" applyNumberFormat="1" applyFont="1" applyFill="1" applyBorder="1" applyAlignment="1">
      <alignment horizontal="center" vertical="center"/>
    </xf>
    <xf numFmtId="49" fontId="18" fillId="29" borderId="15" xfId="0" applyNumberFormat="1" applyFont="1" applyFill="1" applyBorder="1" applyAlignment="1">
      <alignment horizontal="right" vertical="top"/>
    </xf>
    <xf numFmtId="49" fontId="18" fillId="29" borderId="27" xfId="0" applyNumberFormat="1" applyFont="1" applyFill="1" applyBorder="1" applyAlignment="1">
      <alignment horizontal="right" vertical="top"/>
    </xf>
    <xf numFmtId="49" fontId="18" fillId="29" borderId="24" xfId="0" applyNumberFormat="1" applyFont="1" applyFill="1" applyBorder="1" applyAlignment="1">
      <alignment horizontal="right" vertical="top"/>
    </xf>
    <xf numFmtId="49" fontId="14" fillId="0" borderId="32" xfId="0" quotePrefix="1" applyNumberFormat="1" applyFont="1" applyBorder="1" applyAlignment="1">
      <alignment horizontal="center" vertical="center"/>
    </xf>
    <xf numFmtId="49" fontId="13" fillId="0" borderId="59" xfId="0" quotePrefix="1" applyNumberFormat="1" applyFont="1" applyBorder="1" applyAlignment="1">
      <alignment horizontal="center" vertical="center" wrapText="1"/>
    </xf>
    <xf numFmtId="49" fontId="18" fillId="29" borderId="138" xfId="0" applyNumberFormat="1" applyFont="1" applyFill="1" applyBorder="1" applyAlignment="1">
      <alignment horizontal="right" vertical="top"/>
    </xf>
    <xf numFmtId="49" fontId="18" fillId="29" borderId="156" xfId="0" applyNumberFormat="1" applyFont="1" applyFill="1" applyBorder="1" applyAlignment="1">
      <alignment horizontal="right" vertical="top"/>
    </xf>
    <xf numFmtId="49" fontId="13" fillId="0" borderId="132" xfId="0" applyNumberFormat="1" applyFont="1" applyBorder="1" applyAlignment="1">
      <alignment horizontal="left" vertical="center" wrapText="1"/>
    </xf>
    <xf numFmtId="49" fontId="13" fillId="0" borderId="126" xfId="0" applyNumberFormat="1" applyFont="1" applyBorder="1" applyAlignment="1">
      <alignment horizontal="left" vertical="center" wrapText="1"/>
    </xf>
    <xf numFmtId="0" fontId="13" fillId="0" borderId="122" xfId="0" applyFont="1" applyBorder="1" applyAlignment="1">
      <alignment horizontal="center" vertical="center" wrapText="1"/>
    </xf>
    <xf numFmtId="0" fontId="13" fillId="0" borderId="132" xfId="0" applyFont="1" applyBorder="1" applyAlignment="1">
      <alignment horizontal="left" vertical="top" wrapText="1"/>
    </xf>
    <xf numFmtId="0" fontId="13" fillId="0" borderId="126" xfId="0" applyFont="1" applyBorder="1" applyAlignment="1">
      <alignment horizontal="left" vertical="top" wrapText="1"/>
    </xf>
    <xf numFmtId="49" fontId="14" fillId="25" borderId="32" xfId="0" applyNumberFormat="1" applyFont="1" applyFill="1" applyBorder="1" applyAlignment="1">
      <alignment horizontal="left" vertical="center" wrapText="1"/>
    </xf>
    <xf numFmtId="49" fontId="14" fillId="25" borderId="33" xfId="0" applyNumberFormat="1" applyFont="1" applyFill="1" applyBorder="1" applyAlignment="1">
      <alignment horizontal="left" vertical="center" wrapText="1"/>
    </xf>
    <xf numFmtId="49" fontId="14" fillId="25" borderId="34" xfId="0" applyNumberFormat="1" applyFont="1" applyFill="1" applyBorder="1" applyAlignment="1">
      <alignment horizontal="left" vertical="center" wrapText="1"/>
    </xf>
    <xf numFmtId="49" fontId="13" fillId="0" borderId="132" xfId="0" applyNumberFormat="1" applyFont="1" applyBorder="1" applyAlignment="1">
      <alignment horizontal="center" vertical="center" wrapText="1"/>
    </xf>
    <xf numFmtId="49" fontId="13" fillId="0" borderId="126" xfId="0" applyNumberFormat="1" applyFont="1" applyBorder="1" applyAlignment="1">
      <alignment horizontal="center" vertical="center" wrapText="1"/>
    </xf>
    <xf numFmtId="49" fontId="13" fillId="0" borderId="132" xfId="0" quotePrefix="1" applyNumberFormat="1" applyFont="1" applyBorder="1" applyAlignment="1">
      <alignment horizontal="center" vertical="center" wrapText="1"/>
    </xf>
    <xf numFmtId="49" fontId="13" fillId="25" borderId="205" xfId="0" applyNumberFormat="1" applyFont="1" applyFill="1" applyBorder="1" applyAlignment="1">
      <alignment horizontal="center" vertical="center"/>
    </xf>
    <xf numFmtId="49" fontId="13" fillId="25" borderId="126" xfId="0" applyNumberFormat="1" applyFont="1" applyFill="1" applyBorder="1" applyAlignment="1">
      <alignment horizontal="center" vertical="center"/>
    </xf>
    <xf numFmtId="49" fontId="13" fillId="25" borderId="380" xfId="0" applyNumberFormat="1" applyFont="1" applyFill="1" applyBorder="1" applyAlignment="1">
      <alignment horizontal="center" vertical="center"/>
    </xf>
    <xf numFmtId="49" fontId="13" fillId="0" borderId="121" xfId="0" applyNumberFormat="1" applyFont="1" applyBorder="1" applyAlignment="1">
      <alignment horizontal="center" vertical="center" wrapText="1"/>
    </xf>
    <xf numFmtId="49" fontId="13" fillId="0" borderId="33" xfId="0" quotePrefix="1" applyNumberFormat="1" applyFont="1" applyBorder="1" applyAlignment="1">
      <alignment horizontal="center" vertical="center"/>
    </xf>
    <xf numFmtId="49" fontId="13" fillId="0" borderId="59" xfId="0" quotePrefix="1" applyNumberFormat="1" applyFont="1" applyBorder="1" applyAlignment="1">
      <alignment horizontal="center" vertical="center"/>
    </xf>
    <xf numFmtId="49" fontId="11" fillId="0" borderId="171" xfId="0" applyNumberFormat="1" applyFont="1" applyBorder="1" applyAlignment="1">
      <alignment horizontal="center" vertical="center" wrapText="1"/>
    </xf>
    <xf numFmtId="49" fontId="11" fillId="0" borderId="59" xfId="0" applyNumberFormat="1" applyFont="1" applyBorder="1" applyAlignment="1">
      <alignment horizontal="center" vertical="center" wrapText="1"/>
    </xf>
    <xf numFmtId="49" fontId="11" fillId="0" borderId="33" xfId="0" applyNumberFormat="1" applyFont="1" applyBorder="1" applyAlignment="1">
      <alignment horizontal="center" vertical="center" wrapText="1"/>
    </xf>
    <xf numFmtId="49" fontId="11" fillId="0" borderId="171" xfId="0" applyNumberFormat="1" applyFont="1" applyBorder="1" applyAlignment="1">
      <alignment vertical="center" wrapText="1"/>
    </xf>
    <xf numFmtId="49" fontId="11" fillId="0" borderId="59" xfId="0" applyNumberFormat="1" applyFont="1" applyBorder="1" applyAlignment="1">
      <alignment vertical="center" wrapText="1"/>
    </xf>
    <xf numFmtId="49" fontId="13" fillId="0" borderId="122" xfId="0" applyNumberFormat="1" applyFont="1" applyBorder="1" applyAlignment="1">
      <alignment horizontal="left" vertical="center"/>
    </xf>
    <xf numFmtId="49" fontId="13" fillId="0" borderId="0" xfId="0" applyNumberFormat="1" applyFont="1" applyAlignment="1">
      <alignment horizontal="left" vertical="center"/>
    </xf>
    <xf numFmtId="49" fontId="13" fillId="0" borderId="137" xfId="0" applyNumberFormat="1" applyFont="1" applyBorder="1" applyAlignment="1">
      <alignment horizontal="left" vertical="center"/>
    </xf>
    <xf numFmtId="49" fontId="18" fillId="29" borderId="319" xfId="0" applyNumberFormat="1" applyFont="1" applyFill="1" applyBorder="1" applyAlignment="1">
      <alignment horizontal="right" vertical="top"/>
    </xf>
    <xf numFmtId="49" fontId="18" fillId="29" borderId="314" xfId="0" applyNumberFormat="1" applyFont="1" applyFill="1" applyBorder="1" applyAlignment="1">
      <alignment horizontal="right" vertical="top"/>
    </xf>
    <xf numFmtId="0" fontId="18" fillId="29" borderId="124" xfId="0" applyFont="1" applyFill="1" applyBorder="1" applyAlignment="1">
      <alignment horizontal="left" vertical="top" wrapText="1"/>
    </xf>
    <xf numFmtId="0" fontId="18" fillId="29" borderId="176" xfId="0" applyFont="1" applyFill="1" applyBorder="1" applyAlignment="1">
      <alignment horizontal="left" vertical="top" wrapText="1"/>
    </xf>
    <xf numFmtId="0" fontId="18" fillId="29" borderId="194" xfId="0" applyFont="1" applyFill="1" applyBorder="1" applyAlignment="1">
      <alignment horizontal="left" vertical="top" wrapText="1"/>
    </xf>
    <xf numFmtId="0" fontId="11" fillId="0" borderId="171" xfId="0" applyFont="1" applyBorder="1" applyAlignment="1">
      <alignment horizontal="center" vertical="top" wrapText="1"/>
    </xf>
    <xf numFmtId="0" fontId="11" fillId="0" borderId="59" xfId="0" applyFont="1" applyBorder="1" applyAlignment="1">
      <alignment horizontal="center" vertical="top" wrapText="1"/>
    </xf>
    <xf numFmtId="49" fontId="14" fillId="0" borderId="0" xfId="0" applyNumberFormat="1" applyFont="1" applyAlignment="1">
      <alignment horizontal="left" vertical="center" wrapText="1"/>
    </xf>
    <xf numFmtId="49" fontId="13" fillId="0" borderId="64" xfId="0" applyNumberFormat="1" applyFont="1" applyBorder="1" applyAlignment="1">
      <alignment horizontal="center" vertical="center"/>
    </xf>
    <xf numFmtId="0" fontId="11" fillId="0" borderId="272" xfId="0" applyFont="1" applyBorder="1" applyAlignment="1">
      <alignment horizontal="left" vertical="center" wrapText="1"/>
    </xf>
    <xf numFmtId="0" fontId="11" fillId="0" borderId="128" xfId="0" applyFont="1" applyBorder="1" applyAlignment="1">
      <alignment horizontal="left" vertical="center" wrapText="1"/>
    </xf>
    <xf numFmtId="49" fontId="18" fillId="25" borderId="354" xfId="0" applyNumberFormat="1" applyFont="1" applyFill="1" applyBorder="1" applyAlignment="1">
      <alignment horizontal="center" vertical="top"/>
    </xf>
    <xf numFmtId="49" fontId="18" fillId="25" borderId="380" xfId="0" applyNumberFormat="1" applyFont="1" applyFill="1" applyBorder="1" applyAlignment="1">
      <alignment horizontal="center" vertical="top"/>
    </xf>
    <xf numFmtId="0" fontId="14" fillId="0" borderId="69" xfId="0" applyFont="1" applyBorder="1" applyAlignment="1">
      <alignment horizontal="left" vertical="top" wrapText="1"/>
    </xf>
    <xf numFmtId="0" fontId="13" fillId="0" borderId="10" xfId="0" applyFont="1" applyBorder="1" applyAlignment="1">
      <alignment horizontal="left" vertical="top" wrapText="1"/>
    </xf>
    <xf numFmtId="0" fontId="13" fillId="0" borderId="205" xfId="0" applyFont="1" applyBorder="1" applyAlignment="1">
      <alignment horizontal="left" vertical="top" wrapText="1"/>
    </xf>
    <xf numFmtId="0" fontId="13" fillId="0" borderId="192" xfId="0" applyFont="1" applyBorder="1" applyAlignment="1">
      <alignment horizontal="left" vertical="top" wrapText="1"/>
    </xf>
    <xf numFmtId="49" fontId="18" fillId="29" borderId="207" xfId="0" applyNumberFormat="1" applyFont="1" applyFill="1" applyBorder="1" applyAlignment="1">
      <alignment horizontal="center" vertical="top"/>
    </xf>
    <xf numFmtId="49" fontId="18" fillId="29" borderId="175" xfId="0" applyNumberFormat="1" applyFont="1" applyFill="1" applyBorder="1" applyAlignment="1">
      <alignment horizontal="center" vertical="top"/>
    </xf>
    <xf numFmtId="49" fontId="18" fillId="29" borderId="228" xfId="0" applyNumberFormat="1" applyFont="1" applyFill="1" applyBorder="1" applyAlignment="1">
      <alignment horizontal="center" vertical="top"/>
    </xf>
    <xf numFmtId="49" fontId="14" fillId="0" borderId="59" xfId="0" applyNumberFormat="1" applyFont="1" applyBorder="1" applyAlignment="1">
      <alignment horizontal="left" vertical="center" wrapText="1"/>
    </xf>
    <xf numFmtId="49" fontId="13" fillId="0" borderId="130" xfId="0" applyNumberFormat="1" applyFont="1" applyBorder="1" applyAlignment="1">
      <alignment horizontal="left" vertical="center" wrapText="1"/>
    </xf>
    <xf numFmtId="49" fontId="18" fillId="0" borderId="228" xfId="0" applyNumberFormat="1" applyFont="1" applyBorder="1" applyAlignment="1">
      <alignment horizontal="center" vertical="top"/>
    </xf>
    <xf numFmtId="49" fontId="13" fillId="0" borderId="131" xfId="0" quotePrefix="1" applyNumberFormat="1" applyFont="1" applyBorder="1" applyAlignment="1">
      <alignment horizontal="center" vertical="center"/>
    </xf>
    <xf numFmtId="49" fontId="13" fillId="0" borderId="200" xfId="0" applyNumberFormat="1" applyFont="1" applyBorder="1" applyAlignment="1">
      <alignment horizontal="center" vertical="center"/>
    </xf>
    <xf numFmtId="49" fontId="13" fillId="0" borderId="173" xfId="0" applyNumberFormat="1" applyFont="1" applyBorder="1" applyAlignment="1">
      <alignment horizontal="center" vertical="center"/>
    </xf>
    <xf numFmtId="49" fontId="13" fillId="0" borderId="162" xfId="0" quotePrefix="1" applyNumberFormat="1" applyFont="1" applyBorder="1" applyAlignment="1">
      <alignment horizontal="center" vertical="center"/>
    </xf>
    <xf numFmtId="49" fontId="13" fillId="0" borderId="207" xfId="0" applyNumberFormat="1" applyFont="1" applyBorder="1" applyAlignment="1">
      <alignment horizontal="center" vertical="center"/>
    </xf>
    <xf numFmtId="0" fontId="13" fillId="0" borderId="171" xfId="0" applyFont="1" applyBorder="1" applyAlignment="1">
      <alignment horizontal="center" vertical="center" wrapText="1"/>
    </xf>
    <xf numFmtId="0" fontId="13" fillId="0" borderId="130" xfId="0" applyFont="1" applyBorder="1" applyAlignment="1">
      <alignment horizontal="center" vertical="center" wrapText="1"/>
    </xf>
    <xf numFmtId="0" fontId="13" fillId="0" borderId="208" xfId="0" applyFont="1" applyBorder="1" applyAlignment="1">
      <alignment horizontal="left" vertical="center" wrapText="1"/>
    </xf>
    <xf numFmtId="0" fontId="13" fillId="0" borderId="32" xfId="0" applyFont="1" applyBorder="1" applyAlignment="1">
      <alignment horizontal="left" vertical="center" wrapText="1"/>
    </xf>
    <xf numFmtId="49" fontId="13" fillId="0" borderId="205" xfId="0" applyNumberFormat="1" applyFont="1" applyBorder="1" applyAlignment="1">
      <alignment horizontal="left" vertical="center" wrapText="1"/>
    </xf>
    <xf numFmtId="49" fontId="18" fillId="0" borderId="54" xfId="0" applyNumberFormat="1" applyFont="1" applyBorder="1" applyAlignment="1">
      <alignment horizontal="center" vertical="top"/>
    </xf>
    <xf numFmtId="49" fontId="18" fillId="0" borderId="105" xfId="0" applyNumberFormat="1" applyFont="1" applyBorder="1" applyAlignment="1">
      <alignment horizontal="center" vertical="top"/>
    </xf>
    <xf numFmtId="49" fontId="18" fillId="0" borderId="227" xfId="0" applyNumberFormat="1" applyFont="1" applyBorder="1" applyAlignment="1">
      <alignment horizontal="center" vertical="top"/>
    </xf>
    <xf numFmtId="0" fontId="13" fillId="0" borderId="130" xfId="0" applyFont="1" applyBorder="1" applyAlignment="1">
      <alignment horizontal="left" vertical="center" wrapText="1"/>
    </xf>
    <xf numFmtId="0" fontId="13" fillId="0" borderId="121" xfId="0" applyFont="1" applyBorder="1" applyAlignment="1">
      <alignment horizontal="left" vertical="top" wrapText="1"/>
    </xf>
    <xf numFmtId="49" fontId="18" fillId="29" borderId="65" xfId="0" applyNumberFormat="1" applyFont="1" applyFill="1" applyBorder="1" applyAlignment="1">
      <alignment horizontal="left" vertical="top"/>
    </xf>
    <xf numFmtId="49" fontId="18" fillId="29" borderId="33" xfId="0" applyNumberFormat="1" applyFont="1" applyFill="1" applyBorder="1" applyAlignment="1">
      <alignment horizontal="right" vertical="top"/>
    </xf>
    <xf numFmtId="49" fontId="18" fillId="30" borderId="32" xfId="0" applyNumberFormat="1" applyFont="1" applyFill="1" applyBorder="1" applyAlignment="1">
      <alignment horizontal="center" vertical="top"/>
    </xf>
    <xf numFmtId="49" fontId="18" fillId="30" borderId="34" xfId="0" applyNumberFormat="1" applyFont="1" applyFill="1" applyBorder="1" applyAlignment="1">
      <alignment horizontal="center" vertical="top"/>
    </xf>
    <xf numFmtId="49" fontId="13" fillId="25" borderId="132" xfId="0" applyNumberFormat="1" applyFont="1" applyFill="1" applyBorder="1" applyAlignment="1">
      <alignment horizontal="left" vertical="top" wrapText="1"/>
    </xf>
    <xf numFmtId="49" fontId="13" fillId="25" borderId="126" xfId="0" applyNumberFormat="1" applyFont="1" applyFill="1" applyBorder="1" applyAlignment="1">
      <alignment horizontal="left" vertical="top" wrapText="1"/>
    </xf>
    <xf numFmtId="49" fontId="13" fillId="25" borderId="122" xfId="0" applyNumberFormat="1" applyFont="1" applyFill="1" applyBorder="1" applyAlignment="1">
      <alignment horizontal="center" vertical="center"/>
    </xf>
    <xf numFmtId="49" fontId="13" fillId="25" borderId="0" xfId="0" applyNumberFormat="1" applyFont="1" applyFill="1" applyAlignment="1">
      <alignment horizontal="center" vertical="center"/>
    </xf>
    <xf numFmtId="0" fontId="13" fillId="25" borderId="10" xfId="0" applyFont="1" applyFill="1" applyBorder="1" applyAlignment="1">
      <alignment horizontal="left" vertical="top" wrapText="1"/>
    </xf>
    <xf numFmtId="0" fontId="13" fillId="0" borderId="17" xfId="0" applyFont="1" applyBorder="1" applyAlignment="1">
      <alignment horizontal="left" vertical="top" wrapText="1"/>
    </xf>
    <xf numFmtId="0" fontId="13" fillId="0" borderId="5" xfId="0" applyFont="1" applyBorder="1" applyAlignment="1">
      <alignment horizontal="left" vertical="top" wrapText="1"/>
    </xf>
    <xf numFmtId="49" fontId="18" fillId="29" borderId="163" xfId="0" applyNumberFormat="1" applyFont="1" applyFill="1" applyBorder="1" applyAlignment="1">
      <alignment horizontal="right" vertical="top"/>
    </xf>
    <xf numFmtId="0" fontId="13" fillId="0" borderId="123" xfId="0" applyFont="1" applyBorder="1" applyAlignment="1">
      <alignment horizontal="center" vertical="center" wrapText="1"/>
    </xf>
    <xf numFmtId="49" fontId="14" fillId="0" borderId="32" xfId="0" quotePrefix="1" applyNumberFormat="1" applyFont="1" applyBorder="1" applyAlignment="1">
      <alignment horizontal="center" vertical="center" wrapText="1"/>
    </xf>
    <xf numFmtId="49" fontId="13" fillId="0" borderId="32" xfId="0" quotePrefix="1" applyNumberFormat="1" applyFont="1" applyBorder="1" applyAlignment="1">
      <alignment horizontal="center" vertical="center"/>
    </xf>
    <xf numFmtId="49" fontId="14" fillId="0" borderId="70" xfId="0" applyNumberFormat="1" applyFont="1" applyBorder="1" applyAlignment="1">
      <alignment horizontal="left" vertical="center" wrapText="1"/>
    </xf>
    <xf numFmtId="49" fontId="11" fillId="0" borderId="70" xfId="0" applyNumberFormat="1" applyFont="1" applyBorder="1" applyAlignment="1">
      <alignment horizontal="left" vertical="center" wrapText="1"/>
    </xf>
    <xf numFmtId="49" fontId="11" fillId="0" borderId="49" xfId="0" applyNumberFormat="1" applyFont="1" applyBorder="1" applyAlignment="1">
      <alignment horizontal="left" vertical="center" wrapText="1"/>
    </xf>
    <xf numFmtId="0" fontId="13" fillId="25" borderId="105" xfId="0" applyFont="1" applyFill="1" applyBorder="1" applyAlignment="1">
      <alignment horizontal="left" vertical="top" wrapText="1"/>
    </xf>
    <xf numFmtId="0" fontId="13" fillId="25" borderId="54" xfId="0" applyFont="1" applyFill="1" applyBorder="1" applyAlignment="1">
      <alignment horizontal="left" vertical="top" wrapText="1"/>
    </xf>
    <xf numFmtId="0" fontId="13" fillId="25" borderId="86" xfId="0" applyFont="1" applyFill="1" applyBorder="1" applyAlignment="1">
      <alignment horizontal="left" vertical="top" wrapText="1"/>
    </xf>
    <xf numFmtId="0" fontId="27" fillId="0" borderId="132" xfId="0" applyFont="1" applyBorder="1" applyAlignment="1">
      <alignment horizontal="center" vertical="center" wrapText="1"/>
    </xf>
    <xf numFmtId="0" fontId="27" fillId="0" borderId="121" xfId="0" applyFont="1" applyBorder="1" applyAlignment="1">
      <alignment horizontal="center" vertical="center" wrapText="1"/>
    </xf>
    <xf numFmtId="49" fontId="14" fillId="25" borderId="136" xfId="0" applyNumberFormat="1" applyFont="1" applyFill="1" applyBorder="1" applyAlignment="1">
      <alignment horizontal="left" vertical="center" wrapText="1"/>
    </xf>
    <xf numFmtId="49" fontId="18" fillId="25" borderId="137" xfId="0" applyNumberFormat="1" applyFont="1" applyFill="1" applyBorder="1" applyAlignment="1">
      <alignment horizontal="left" vertical="center" wrapText="1"/>
    </xf>
    <xf numFmtId="49" fontId="13" fillId="25" borderId="132" xfId="0" applyNumberFormat="1" applyFont="1" applyFill="1" applyBorder="1" applyAlignment="1">
      <alignment horizontal="left" vertical="center" wrapText="1"/>
    </xf>
    <xf numFmtId="49" fontId="13" fillId="25" borderId="126" xfId="0" applyNumberFormat="1" applyFont="1" applyFill="1" applyBorder="1" applyAlignment="1">
      <alignment horizontal="left" vertical="center" wrapText="1"/>
    </xf>
    <xf numFmtId="0" fontId="14" fillId="0" borderId="132" xfId="0" applyFont="1" applyBorder="1" applyAlignment="1">
      <alignment horizontal="center" vertical="center"/>
    </xf>
    <xf numFmtId="0" fontId="14" fillId="0" borderId="126" xfId="0" applyFont="1" applyBorder="1" applyAlignment="1">
      <alignment horizontal="center" vertical="center"/>
    </xf>
    <xf numFmtId="0" fontId="14" fillId="0" borderId="121" xfId="0" applyFont="1" applyBorder="1" applyAlignment="1">
      <alignment horizontal="center" vertical="center"/>
    </xf>
    <xf numFmtId="0" fontId="27" fillId="0" borderId="162" xfId="0" quotePrefix="1" applyFont="1" applyBorder="1" applyAlignment="1">
      <alignment horizontal="center" vertical="center"/>
    </xf>
    <xf numFmtId="0" fontId="27" fillId="0" borderId="166" xfId="0" applyFont="1" applyBorder="1" applyAlignment="1">
      <alignment horizontal="center" vertical="center"/>
    </xf>
    <xf numFmtId="49" fontId="18" fillId="31" borderId="310" xfId="0" applyNumberFormat="1" applyFont="1" applyFill="1" applyBorder="1" applyAlignment="1">
      <alignment horizontal="right" vertical="top"/>
    </xf>
    <xf numFmtId="49" fontId="18" fillId="31" borderId="56" xfId="0" applyNumberFormat="1" applyFont="1" applyFill="1" applyBorder="1" applyAlignment="1">
      <alignment horizontal="right" vertical="top"/>
    </xf>
    <xf numFmtId="49" fontId="18" fillId="0" borderId="11" xfId="0" applyNumberFormat="1" applyFont="1" applyBorder="1" applyAlignment="1">
      <alignment horizontal="left" vertical="top"/>
    </xf>
    <xf numFmtId="49" fontId="18" fillId="0" borderId="43" xfId="0" applyNumberFormat="1" applyFont="1" applyBorder="1" applyAlignment="1">
      <alignment horizontal="left" vertical="top"/>
    </xf>
    <xf numFmtId="49" fontId="18" fillId="29" borderId="67" xfId="0" applyNumberFormat="1" applyFont="1" applyFill="1" applyBorder="1" applyAlignment="1">
      <alignment horizontal="left" vertical="top"/>
    </xf>
    <xf numFmtId="49" fontId="18" fillId="29" borderId="66" xfId="0" applyNumberFormat="1" applyFont="1" applyFill="1" applyBorder="1" applyAlignment="1">
      <alignment horizontal="left" vertical="top"/>
    </xf>
    <xf numFmtId="49" fontId="18" fillId="29" borderId="123" xfId="0" applyNumberFormat="1" applyFont="1" applyFill="1" applyBorder="1" applyAlignment="1">
      <alignment horizontal="center" vertical="top"/>
    </xf>
    <xf numFmtId="49" fontId="18" fillId="25" borderId="66" xfId="0" applyNumberFormat="1" applyFont="1" applyFill="1" applyBorder="1" applyAlignment="1">
      <alignment horizontal="center" vertical="top"/>
    </xf>
    <xf numFmtId="49" fontId="18" fillId="25" borderId="67" xfId="0" applyNumberFormat="1" applyFont="1" applyFill="1" applyBorder="1" applyAlignment="1">
      <alignment horizontal="center" vertical="top"/>
    </xf>
    <xf numFmtId="49" fontId="13" fillId="0" borderId="186" xfId="0" applyNumberFormat="1" applyFont="1" applyBorder="1" applyAlignment="1">
      <alignment horizontal="center" vertical="center"/>
    </xf>
    <xf numFmtId="49" fontId="13" fillId="0" borderId="215" xfId="0" applyNumberFormat="1" applyFont="1" applyBorder="1" applyAlignment="1">
      <alignment horizontal="center" vertical="center"/>
    </xf>
    <xf numFmtId="0" fontId="13" fillId="25" borderId="105" xfId="0" applyFont="1" applyFill="1" applyBorder="1" applyAlignment="1">
      <alignment horizontal="center" vertical="center" wrapText="1"/>
    </xf>
    <xf numFmtId="0" fontId="13" fillId="25" borderId="54" xfId="0" applyFont="1" applyFill="1" applyBorder="1" applyAlignment="1">
      <alignment horizontal="center" vertical="center" wrapText="1"/>
    </xf>
    <xf numFmtId="0" fontId="13" fillId="25" borderId="86" xfId="0" applyFont="1" applyFill="1" applyBorder="1" applyAlignment="1">
      <alignment horizontal="center" vertical="center" wrapText="1"/>
    </xf>
    <xf numFmtId="49" fontId="18" fillId="0" borderId="123" xfId="0" applyNumberFormat="1" applyFont="1" applyBorder="1" applyAlignment="1">
      <alignment horizontal="center" vertical="top"/>
    </xf>
    <xf numFmtId="49" fontId="13" fillId="0" borderId="194" xfId="0" quotePrefix="1" applyNumberFormat="1" applyFont="1" applyBorder="1" applyAlignment="1">
      <alignment horizontal="center" vertical="top" wrapText="1"/>
    </xf>
    <xf numFmtId="49" fontId="13" fillId="0" borderId="227" xfId="0" applyNumberFormat="1" applyFont="1" applyBorder="1" applyAlignment="1">
      <alignment horizontal="center" vertical="top" wrapText="1"/>
    </xf>
    <xf numFmtId="0" fontId="20" fillId="0" borderId="69" xfId="0" applyFont="1" applyBorder="1" applyAlignment="1">
      <alignment horizontal="center" textRotation="90" wrapText="1"/>
    </xf>
    <xf numFmtId="0" fontId="20" fillId="0" borderId="8" xfId="0" applyFont="1" applyBorder="1" applyAlignment="1">
      <alignment horizontal="center" textRotation="90" wrapText="1"/>
    </xf>
    <xf numFmtId="49" fontId="18" fillId="0" borderId="263" xfId="0" applyNumberFormat="1" applyFont="1" applyBorder="1" applyAlignment="1">
      <alignment horizontal="center" vertical="top"/>
    </xf>
    <xf numFmtId="49" fontId="18" fillId="0" borderId="267" xfId="0" applyNumberFormat="1" applyFont="1" applyBorder="1" applyAlignment="1">
      <alignment horizontal="center" vertical="top"/>
    </xf>
    <xf numFmtId="0" fontId="13" fillId="0" borderId="264" xfId="0" applyFont="1" applyBorder="1" applyAlignment="1">
      <alignment horizontal="left" vertical="top" wrapText="1"/>
    </xf>
    <xf numFmtId="0" fontId="13" fillId="0" borderId="268" xfId="0" applyFont="1" applyBorder="1" applyAlignment="1">
      <alignment horizontal="left" vertical="top" wrapText="1"/>
    </xf>
    <xf numFmtId="0" fontId="13" fillId="0" borderId="208" xfId="0" applyFont="1" applyBorder="1" applyAlignment="1">
      <alignment horizontal="center" vertical="center" wrapText="1"/>
    </xf>
    <xf numFmtId="0" fontId="13" fillId="0" borderId="132" xfId="0" applyFont="1" applyBorder="1" applyAlignment="1">
      <alignment horizontal="left" vertical="center" wrapText="1"/>
    </xf>
    <xf numFmtId="49" fontId="13" fillId="0" borderId="194" xfId="0" applyNumberFormat="1" applyFont="1" applyBorder="1" applyAlignment="1">
      <alignment horizontal="left" vertical="center" wrapText="1"/>
    </xf>
    <xf numFmtId="49" fontId="13" fillId="0" borderId="217" xfId="0" applyNumberFormat="1" applyFont="1" applyBorder="1" applyAlignment="1">
      <alignment horizontal="left" vertical="center" wrapText="1"/>
    </xf>
    <xf numFmtId="2" fontId="13" fillId="25" borderId="189" xfId="0" applyNumberFormat="1" applyFont="1" applyFill="1" applyBorder="1" applyAlignment="1">
      <alignment horizontal="center" textRotation="90" wrapText="1"/>
    </xf>
    <xf numFmtId="2" fontId="13" fillId="25" borderId="128" xfId="0" applyNumberFormat="1" applyFont="1" applyFill="1" applyBorder="1" applyAlignment="1">
      <alignment horizontal="center" textRotation="90" wrapText="1"/>
    </xf>
    <xf numFmtId="2" fontId="13" fillId="0" borderId="381" xfId="0" applyNumberFormat="1" applyFont="1" applyBorder="1" applyAlignment="1">
      <alignment horizontal="center" textRotation="90" wrapText="1"/>
    </xf>
    <xf numFmtId="2" fontId="13" fillId="0" borderId="382" xfId="0" applyNumberFormat="1" applyFont="1" applyBorder="1" applyAlignment="1">
      <alignment horizontal="center" textRotation="90" wrapText="1"/>
    </xf>
    <xf numFmtId="49" fontId="18" fillId="29" borderId="208" xfId="0" applyNumberFormat="1" applyFont="1" applyFill="1" applyBorder="1" applyAlignment="1">
      <alignment horizontal="right" vertical="top"/>
    </xf>
    <xf numFmtId="0" fontId="13" fillId="0" borderId="142" xfId="0" applyFont="1" applyBorder="1" applyAlignment="1">
      <alignment horizontal="left" vertical="top" wrapText="1"/>
    </xf>
    <xf numFmtId="0" fontId="13" fillId="0" borderId="144" xfId="0" applyFont="1" applyBorder="1" applyAlignment="1">
      <alignment horizontal="left" vertical="top" wrapText="1"/>
    </xf>
    <xf numFmtId="49" fontId="14" fillId="0" borderId="137" xfId="0" applyNumberFormat="1" applyFont="1" applyBorder="1" applyAlignment="1">
      <alignment horizontal="left" vertical="center"/>
    </xf>
    <xf numFmtId="49" fontId="13" fillId="0" borderId="138" xfId="0" applyNumberFormat="1" applyFont="1" applyBorder="1" applyAlignment="1">
      <alignment horizontal="left" vertical="center"/>
    </xf>
    <xf numFmtId="49" fontId="13" fillId="0" borderId="121" xfId="0" applyNumberFormat="1" applyFont="1" applyBorder="1" applyAlignment="1">
      <alignment horizontal="center" vertical="center"/>
    </xf>
    <xf numFmtId="49" fontId="13" fillId="0" borderId="189" xfId="0" applyNumberFormat="1" applyFont="1" applyBorder="1" applyAlignment="1">
      <alignment horizontal="left" vertical="center" wrapText="1"/>
    </xf>
    <xf numFmtId="49" fontId="13" fillId="0" borderId="127" xfId="0" applyNumberFormat="1" applyFont="1" applyBorder="1" applyAlignment="1">
      <alignment horizontal="left" vertical="center" wrapText="1"/>
    </xf>
    <xf numFmtId="49" fontId="18" fillId="30" borderId="59" xfId="0" applyNumberFormat="1" applyFont="1" applyFill="1" applyBorder="1" applyAlignment="1">
      <alignment horizontal="left" vertical="top"/>
    </xf>
    <xf numFmtId="49" fontId="18" fillId="30" borderId="70" xfId="0" applyNumberFormat="1" applyFont="1" applyFill="1" applyBorder="1" applyAlignment="1">
      <alignment horizontal="left" vertical="top"/>
    </xf>
    <xf numFmtId="49" fontId="18" fillId="30" borderId="171" xfId="0" applyNumberFormat="1" applyFont="1" applyFill="1" applyBorder="1" applyAlignment="1">
      <alignment horizontal="center" vertical="top"/>
    </xf>
    <xf numFmtId="49" fontId="18" fillId="30" borderId="123" xfId="0" applyNumberFormat="1" applyFont="1" applyFill="1" applyBorder="1" applyAlignment="1">
      <alignment horizontal="center" vertical="top"/>
    </xf>
    <xf numFmtId="0" fontId="13" fillId="25" borderId="123" xfId="0" applyFont="1" applyFill="1" applyBorder="1" applyAlignment="1">
      <alignment horizontal="left" vertical="top" wrapText="1"/>
    </xf>
    <xf numFmtId="0" fontId="13" fillId="0" borderId="33" xfId="0" applyFont="1" applyBorder="1" applyAlignment="1">
      <alignment horizontal="center" vertical="center" wrapText="1"/>
    </xf>
    <xf numFmtId="0" fontId="13" fillId="0" borderId="173" xfId="0" applyFont="1" applyBorder="1" applyAlignment="1">
      <alignment horizontal="center" vertical="center" wrapText="1"/>
    </xf>
    <xf numFmtId="166" fontId="20" fillId="0" borderId="10" xfId="0" applyNumberFormat="1" applyFont="1" applyBorder="1" applyAlignment="1">
      <alignment horizontal="left" vertical="top" wrapText="1"/>
    </xf>
    <xf numFmtId="166" fontId="20" fillId="0" borderId="69" xfId="0" applyNumberFormat="1" applyFont="1" applyBorder="1" applyAlignment="1">
      <alignment horizontal="left" vertical="top" wrapText="1"/>
    </xf>
    <xf numFmtId="49" fontId="18" fillId="29" borderId="74" xfId="0" applyNumberFormat="1" applyFont="1" applyFill="1" applyBorder="1" applyAlignment="1">
      <alignment horizontal="center" vertical="top"/>
    </xf>
    <xf numFmtId="0" fontId="13" fillId="25" borderId="78" xfId="0" applyFont="1" applyFill="1" applyBorder="1" applyAlignment="1">
      <alignment horizontal="left" vertical="top" wrapText="1"/>
    </xf>
    <xf numFmtId="1" fontId="13" fillId="0" borderId="136" xfId="0" applyNumberFormat="1" applyFont="1" applyBorder="1" applyAlignment="1">
      <alignment horizontal="left" vertical="center" wrapText="1"/>
    </xf>
    <xf numFmtId="1" fontId="13" fillId="0" borderId="184" xfId="0" applyNumberFormat="1" applyFont="1" applyBorder="1" applyAlignment="1">
      <alignment horizontal="left" vertical="center" wrapText="1"/>
    </xf>
    <xf numFmtId="1" fontId="13" fillId="0" borderId="150" xfId="0" applyNumberFormat="1" applyFont="1" applyBorder="1" applyAlignment="1">
      <alignment horizontal="left" vertical="center" wrapText="1"/>
    </xf>
    <xf numFmtId="1" fontId="13" fillId="0" borderId="155" xfId="0" applyNumberFormat="1" applyFont="1" applyBorder="1" applyAlignment="1">
      <alignment horizontal="left" vertical="center" wrapText="1"/>
    </xf>
    <xf numFmtId="49" fontId="13" fillId="0" borderId="105" xfId="0" applyNumberFormat="1" applyFont="1" applyBorder="1" applyAlignment="1">
      <alignment horizontal="center" vertical="center"/>
    </xf>
    <xf numFmtId="49" fontId="13" fillId="0" borderId="63" xfId="0" applyNumberFormat="1" applyFont="1" applyBorder="1" applyAlignment="1">
      <alignment horizontal="center" vertical="center"/>
    </xf>
    <xf numFmtId="49" fontId="13" fillId="25" borderId="33" xfId="0" applyNumberFormat="1" applyFont="1" applyFill="1" applyBorder="1" applyAlignment="1">
      <alignment horizontal="center" vertical="center"/>
    </xf>
    <xf numFmtId="0" fontId="13" fillId="0" borderId="205" xfId="0" applyFont="1" applyBorder="1" applyAlignment="1">
      <alignment horizontal="center" vertical="center" wrapText="1"/>
    </xf>
    <xf numFmtId="0" fontId="13" fillId="0" borderId="206" xfId="0" applyFont="1" applyBorder="1" applyAlignment="1">
      <alignment horizontal="center" vertical="center" wrapText="1"/>
    </xf>
    <xf numFmtId="49" fontId="13" fillId="0" borderId="129" xfId="0" applyNumberFormat="1" applyFont="1" applyBorder="1" applyAlignment="1">
      <alignment horizontal="center" vertical="center"/>
    </xf>
    <xf numFmtId="0" fontId="13" fillId="0" borderId="171" xfId="0" applyFont="1" applyBorder="1" applyAlignment="1">
      <alignment horizontal="left" vertical="center" wrapText="1"/>
    </xf>
    <xf numFmtId="0" fontId="13" fillId="0" borderId="123" xfId="0" applyFont="1" applyBorder="1" applyAlignment="1">
      <alignment horizontal="left" vertical="center" wrapText="1"/>
    </xf>
    <xf numFmtId="49" fontId="13" fillId="0" borderId="162" xfId="0" applyNumberFormat="1" applyFont="1" applyBorder="1" applyAlignment="1">
      <alignment horizontal="left" vertical="center" wrapText="1"/>
    </xf>
    <xf numFmtId="49" fontId="13" fillId="0" borderId="166" xfId="0" applyNumberFormat="1" applyFont="1" applyBorder="1" applyAlignment="1">
      <alignment horizontal="left" vertical="center" wrapText="1"/>
    </xf>
    <xf numFmtId="49" fontId="13" fillId="0" borderId="163" xfId="0" applyNumberFormat="1" applyFont="1" applyBorder="1" applyAlignment="1">
      <alignment horizontal="left" vertical="center" wrapText="1"/>
    </xf>
    <xf numFmtId="49" fontId="18" fillId="29" borderId="189" xfId="0" applyNumberFormat="1" applyFont="1" applyFill="1" applyBorder="1" applyAlignment="1">
      <alignment horizontal="center" vertical="top"/>
    </xf>
    <xf numFmtId="49" fontId="18" fillId="29" borderId="128" xfId="0" applyNumberFormat="1" applyFont="1" applyFill="1" applyBorder="1" applyAlignment="1">
      <alignment horizontal="center" vertical="top"/>
    </xf>
    <xf numFmtId="49" fontId="18" fillId="30" borderId="67" xfId="0" applyNumberFormat="1" applyFont="1" applyFill="1" applyBorder="1" applyAlignment="1">
      <alignment horizontal="right" vertical="top"/>
    </xf>
    <xf numFmtId="49" fontId="18" fillId="30" borderId="24" xfId="0" applyNumberFormat="1" applyFont="1" applyFill="1" applyBorder="1" applyAlignment="1">
      <alignment horizontal="right" vertical="top"/>
    </xf>
    <xf numFmtId="49" fontId="18" fillId="30" borderId="28" xfId="0" applyNumberFormat="1" applyFont="1" applyFill="1" applyBorder="1" applyAlignment="1">
      <alignment horizontal="right" vertical="top"/>
    </xf>
    <xf numFmtId="49" fontId="18" fillId="30" borderId="48" xfId="0" applyNumberFormat="1" applyFont="1" applyFill="1" applyBorder="1" applyAlignment="1">
      <alignment horizontal="right" vertical="top"/>
    </xf>
    <xf numFmtId="49" fontId="13" fillId="0" borderId="126" xfId="0" applyNumberFormat="1" applyFont="1" applyBorder="1" applyAlignment="1">
      <alignment horizontal="left" vertical="top" wrapText="1"/>
    </xf>
    <xf numFmtId="49" fontId="13" fillId="0" borderId="206" xfId="0" applyNumberFormat="1" applyFont="1" applyBorder="1" applyAlignment="1">
      <alignment horizontal="left" vertical="top" wrapText="1"/>
    </xf>
    <xf numFmtId="49" fontId="13" fillId="0" borderId="132" xfId="0" applyNumberFormat="1" applyFont="1" applyBorder="1" applyAlignment="1">
      <alignment horizontal="left" vertical="center"/>
    </xf>
    <xf numFmtId="49" fontId="13" fillId="0" borderId="126" xfId="0" applyNumberFormat="1" applyFont="1" applyBorder="1" applyAlignment="1">
      <alignment horizontal="left" vertical="center"/>
    </xf>
    <xf numFmtId="49" fontId="13" fillId="0" borderId="121" xfId="0" applyNumberFormat="1" applyFont="1" applyBorder="1" applyAlignment="1">
      <alignment horizontal="left" vertical="center"/>
    </xf>
    <xf numFmtId="49" fontId="13" fillId="0" borderId="166" xfId="0" applyNumberFormat="1" applyFont="1" applyBorder="1" applyAlignment="1">
      <alignment horizontal="center" vertical="center" wrapText="1"/>
    </xf>
    <xf numFmtId="49" fontId="14" fillId="0" borderId="132" xfId="0" applyNumberFormat="1" applyFont="1" applyBorder="1" applyAlignment="1">
      <alignment horizontal="left" vertical="center" wrapText="1"/>
    </xf>
    <xf numFmtId="49" fontId="14" fillId="0" borderId="171" xfId="0" applyNumberFormat="1" applyFont="1" applyBorder="1" applyAlignment="1">
      <alignment horizontal="left" vertical="center" wrapText="1"/>
    </xf>
    <xf numFmtId="49" fontId="13" fillId="0" borderId="123" xfId="0" applyNumberFormat="1" applyFont="1" applyBorder="1" applyAlignment="1">
      <alignment horizontal="left" vertical="center" wrapText="1"/>
    </xf>
    <xf numFmtId="49" fontId="18" fillId="29" borderId="84" xfId="0" applyNumberFormat="1" applyFont="1" applyFill="1" applyBorder="1" applyAlignment="1">
      <alignment horizontal="center" vertical="top"/>
    </xf>
    <xf numFmtId="49" fontId="18" fillId="29" borderId="13" xfId="0" applyNumberFormat="1" applyFont="1" applyFill="1" applyBorder="1" applyAlignment="1">
      <alignment horizontal="center" vertical="top"/>
    </xf>
    <xf numFmtId="0" fontId="13" fillId="25" borderId="12" xfId="0" applyFont="1" applyFill="1" applyBorder="1" applyAlignment="1">
      <alignment horizontal="left" vertical="top" wrapText="1"/>
    </xf>
    <xf numFmtId="49" fontId="13" fillId="0" borderId="159" xfId="0" applyNumberFormat="1" applyFont="1" applyBorder="1" applyAlignment="1">
      <alignment horizontal="left" vertical="center" wrapText="1"/>
    </xf>
    <xf numFmtId="0" fontId="26" fillId="0" borderId="407" xfId="0" applyFont="1" applyBorder="1" applyAlignment="1">
      <alignment wrapText="1"/>
    </xf>
    <xf numFmtId="0" fontId="26" fillId="0" borderId="408" xfId="0" applyFont="1" applyBorder="1" applyAlignment="1">
      <alignment wrapText="1"/>
    </xf>
    <xf numFmtId="0" fontId="24" fillId="0" borderId="406" xfId="0" applyFont="1" applyBorder="1" applyAlignment="1">
      <alignment wrapText="1"/>
    </xf>
    <xf numFmtId="0" fontId="24" fillId="0" borderId="391" xfId="0" applyFont="1" applyBorder="1" applyAlignment="1">
      <alignment wrapText="1"/>
    </xf>
  </cellXfs>
  <cellStyles count="39">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4" xr:uid="{00000000-0005-0000-0000-000012000000}"/>
    <cellStyle name="Accent2 2" xfId="25" xr:uid="{00000000-0005-0000-0000-000013000000}"/>
    <cellStyle name="Accent3 2" xfId="26" xr:uid="{00000000-0005-0000-0000-000014000000}"/>
    <cellStyle name="Accent4 2" xfId="27" xr:uid="{00000000-0005-0000-0000-000015000000}"/>
    <cellStyle name="Accent5 2" xfId="28" xr:uid="{00000000-0005-0000-0000-000016000000}"/>
    <cellStyle name="Accent6 2" xfId="29" xr:uid="{00000000-0005-0000-0000-000017000000}"/>
    <cellStyle name="Bad 2" xfId="20" xr:uid="{00000000-0005-0000-0000-000018000000}"/>
    <cellStyle name="Calculation 2" xfId="31" xr:uid="{00000000-0005-0000-0000-000019000000}"/>
    <cellStyle name="Check Cell 2" xfId="33" xr:uid="{00000000-0005-0000-0000-00001A000000}"/>
    <cellStyle name="Comma 2" xfId="34" xr:uid="{00000000-0005-0000-0000-00001B000000}"/>
    <cellStyle name="Input 2" xfId="21" xr:uid="{00000000-0005-0000-0000-00001C000000}"/>
    <cellStyle name="Įprastas" xfId="0" builtinId="0"/>
    <cellStyle name="Linked Cell 2" xfId="32" xr:uid="{00000000-0005-0000-0000-00001E000000}"/>
    <cellStyle name="Neutral 2" xfId="22" xr:uid="{00000000-0005-0000-0000-00001F000000}"/>
    <cellStyle name="Normal 2" xfId="1" xr:uid="{00000000-0005-0000-0000-000020000000}"/>
    <cellStyle name="Normal 2 3" xfId="37" xr:uid="{00000000-0005-0000-0000-000021000000}"/>
    <cellStyle name="Normal 2 4" xfId="38" xr:uid="{00000000-0005-0000-0000-000022000000}"/>
    <cellStyle name="Normal 3" xfId="35" xr:uid="{00000000-0005-0000-0000-000023000000}"/>
    <cellStyle name="Normal_4 priedas_suvestine3" xfId="23" xr:uid="{00000000-0005-0000-0000-000024000000}"/>
    <cellStyle name="Note 2" xfId="30" xr:uid="{00000000-0005-0000-0000-000025000000}"/>
    <cellStyle name="Percent 2" xfId="36" xr:uid="{00000000-0005-0000-0000-000026000000}"/>
  </cellStyles>
  <dxfs count="0"/>
  <tableStyles count="0" defaultTableStyle="TableStyleMedium2" defaultPivotStyle="PivotStyleLight16"/>
  <colors>
    <mruColors>
      <color rgb="FF9FD498"/>
      <color rgb="FFB9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16</xdr:col>
      <xdr:colOff>766</xdr:colOff>
      <xdr:row>14</xdr:row>
      <xdr:rowOff>86172</xdr:rowOff>
    </xdr:to>
    <xdr:pic>
      <xdr:nvPicPr>
        <xdr:cNvPr id="2" name="Picture 1">
          <a:extLst>
            <a:ext uri="{FF2B5EF4-FFF2-40B4-BE49-F238E27FC236}">
              <a16:creationId xmlns:a16="http://schemas.microsoft.com/office/drawing/2014/main" id="{D1E62FE2-D77C-67C8-B27D-9E8AA6DE0DF2}"/>
            </a:ext>
          </a:extLst>
        </xdr:cNvPr>
        <xdr:cNvPicPr>
          <a:picLocks noChangeAspect="1"/>
        </xdr:cNvPicPr>
      </xdr:nvPicPr>
      <xdr:blipFill>
        <a:blip xmlns:r="http://schemas.openxmlformats.org/officeDocument/2006/relationships" r:embed="rId1"/>
        <a:stretch>
          <a:fillRect/>
        </a:stretch>
      </xdr:blipFill>
      <xdr:spPr>
        <a:xfrm>
          <a:off x="7800975" y="0"/>
          <a:ext cx="5487166" cy="320084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Violeta Grajauskiene" id="{96AB8F43-B15B-4067-8C0A-720CD70966BA}" userId="fa002eff8357cfec"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253" dT="2025-06-23T08:42:54.08" personId="{96AB8F43-B15B-4067-8C0A-720CD70966BA}" id="{2BEB744C-7159-45CC-900B-0E0A3EE19E31}">
    <text>15 tukst. Visos dienos, nes per Audrone neina</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59"/>
  <sheetViews>
    <sheetView tabSelected="1" zoomScale="90" zoomScaleNormal="90" workbookViewId="0">
      <pane ySplit="12" topLeftCell="A13" activePane="bottomLeft" state="frozen"/>
      <selection pane="bottomLeft" activeCell="I6" sqref="I6:L6"/>
    </sheetView>
  </sheetViews>
  <sheetFormatPr defaultColWidth="9.109375" defaultRowHeight="15" customHeight="1" x14ac:dyDescent="0.25"/>
  <cols>
    <col min="1" max="2" width="5.109375" style="19" customWidth="1"/>
    <col min="3" max="3" width="5.33203125" style="19" customWidth="1"/>
    <col min="4" max="4" width="18.33203125" style="19" customWidth="1"/>
    <col min="5" max="5" width="6" style="19" customWidth="1"/>
    <col min="6" max="6" width="23.44140625" style="19" customWidth="1"/>
    <col min="7" max="7" width="17.33203125" style="19" customWidth="1"/>
    <col min="8" max="8" width="13.6640625" style="19" customWidth="1"/>
    <col min="9" max="9" width="9.109375" style="19"/>
    <col min="10" max="10" width="9.109375" style="21"/>
    <col min="11" max="11" width="9.109375" style="19"/>
    <col min="12" max="12" width="11" style="19" customWidth="1"/>
    <col min="13" max="16384" width="9.109375" style="19"/>
  </cols>
  <sheetData>
    <row r="1" spans="1:15" ht="35.25" customHeight="1" x14ac:dyDescent="0.25">
      <c r="B1" s="1374"/>
      <c r="C1" s="1374"/>
      <c r="D1" s="1374"/>
      <c r="E1" s="1374"/>
      <c r="F1" s="1374"/>
      <c r="G1" s="1374"/>
      <c r="H1" s="1374"/>
      <c r="I1" s="1521" t="s">
        <v>510</v>
      </c>
      <c r="J1" s="1521"/>
      <c r="K1" s="1521"/>
      <c r="L1" s="1521"/>
    </row>
    <row r="2" spans="1:15" ht="30.6" hidden="1" customHeight="1" x14ac:dyDescent="0.25">
      <c r="B2" s="1374"/>
      <c r="C2" s="1374"/>
      <c r="D2" s="1374"/>
      <c r="E2" s="1374"/>
      <c r="F2" s="1374"/>
      <c r="G2" s="1374"/>
      <c r="H2" s="1374"/>
      <c r="I2" s="1529" t="s">
        <v>514</v>
      </c>
      <c r="J2" s="1529"/>
      <c r="K2" s="1529"/>
      <c r="L2" s="1529"/>
    </row>
    <row r="3" spans="1:15" ht="35.25" hidden="1" customHeight="1" x14ac:dyDescent="0.25">
      <c r="B3" s="1374"/>
      <c r="C3" s="1374"/>
      <c r="D3" s="1374"/>
      <c r="E3" s="1374"/>
      <c r="F3" s="1374"/>
      <c r="G3" s="1374"/>
      <c r="H3" s="1374"/>
      <c r="I3" s="1529" t="s">
        <v>511</v>
      </c>
      <c r="J3" s="1529"/>
      <c r="K3" s="1529"/>
      <c r="L3" s="1529"/>
    </row>
    <row r="4" spans="1:15" ht="35.25" customHeight="1" x14ac:dyDescent="0.25">
      <c r="B4" s="1374"/>
      <c r="C4" s="1374"/>
      <c r="D4" s="1374"/>
      <c r="E4" s="1374"/>
      <c r="F4" s="1374"/>
      <c r="G4" s="1374"/>
      <c r="H4" s="1374"/>
      <c r="I4" s="1529" t="s">
        <v>517</v>
      </c>
      <c r="J4" s="1529"/>
      <c r="K4" s="1529"/>
      <c r="L4" s="1529"/>
    </row>
    <row r="5" spans="1:15" ht="10.5" customHeight="1" x14ac:dyDescent="0.25">
      <c r="B5" s="1374"/>
      <c r="C5" s="1374"/>
      <c r="D5" s="1374"/>
      <c r="E5" s="1374"/>
      <c r="F5" s="1374"/>
      <c r="G5" s="1374"/>
      <c r="H5" s="1374"/>
      <c r="I5" s="1376"/>
      <c r="J5" s="1376"/>
      <c r="K5" s="1376"/>
      <c r="L5" s="1376"/>
    </row>
    <row r="6" spans="1:15" ht="42" customHeight="1" x14ac:dyDescent="0.25">
      <c r="B6" s="1374"/>
      <c r="C6" s="1374"/>
      <c r="D6" s="1374"/>
      <c r="E6" s="1374"/>
      <c r="F6" s="1374"/>
      <c r="G6" s="1374"/>
      <c r="H6" s="1374"/>
      <c r="I6" s="1521" t="s">
        <v>503</v>
      </c>
      <c r="J6" s="1521"/>
      <c r="K6" s="1521"/>
      <c r="L6" s="1521"/>
    </row>
    <row r="7" spans="1:15" ht="28.5" customHeight="1" x14ac:dyDescent="0.25">
      <c r="B7" s="1374"/>
      <c r="C7" s="1374"/>
      <c r="D7" s="1374"/>
      <c r="E7" s="1374"/>
      <c r="F7" s="1374"/>
      <c r="G7" s="1374"/>
      <c r="H7" s="1374"/>
      <c r="I7" s="1375"/>
      <c r="J7" s="1375"/>
      <c r="K7" s="1375"/>
      <c r="L7" s="1375"/>
    </row>
    <row r="8" spans="1:15" ht="26.25" customHeight="1" x14ac:dyDescent="0.25">
      <c r="B8" s="1729" t="s">
        <v>0</v>
      </c>
      <c r="C8" s="1729"/>
      <c r="D8" s="1729"/>
      <c r="E8" s="1729"/>
      <c r="F8" s="1729"/>
      <c r="G8" s="1729"/>
      <c r="H8" s="1729"/>
      <c r="I8" s="1729"/>
      <c r="J8" s="1729"/>
      <c r="K8" s="1729"/>
    </row>
    <row r="9" spans="1:15" ht="12" x14ac:dyDescent="0.25">
      <c r="B9" s="20"/>
      <c r="C9" s="20"/>
      <c r="D9" s="20"/>
      <c r="E9" s="20"/>
      <c r="F9" s="20"/>
      <c r="G9" s="20"/>
      <c r="H9" s="20"/>
      <c r="I9" s="20"/>
    </row>
    <row r="10" spans="1:15" ht="22.8" x14ac:dyDescent="0.25">
      <c r="A10" s="1501" t="s">
        <v>1</v>
      </c>
      <c r="B10" s="1742" t="s">
        <v>2</v>
      </c>
      <c r="C10" s="1742" t="s">
        <v>3</v>
      </c>
      <c r="D10" s="1745" t="s">
        <v>4</v>
      </c>
      <c r="E10" s="1518" t="s">
        <v>5</v>
      </c>
      <c r="F10" s="1518" t="s">
        <v>6</v>
      </c>
      <c r="G10" s="1518" t="s">
        <v>7</v>
      </c>
      <c r="H10" s="1518" t="s">
        <v>8</v>
      </c>
      <c r="I10" s="1735" t="s">
        <v>9</v>
      </c>
      <c r="J10" s="22" t="s">
        <v>10</v>
      </c>
      <c r="K10" s="23" t="s">
        <v>11</v>
      </c>
      <c r="L10" s="24" t="s">
        <v>12</v>
      </c>
    </row>
    <row r="11" spans="1:15" ht="12" x14ac:dyDescent="0.25">
      <c r="A11" s="1502"/>
      <c r="B11" s="1743"/>
      <c r="C11" s="1743"/>
      <c r="D11" s="1746"/>
      <c r="E11" s="1519"/>
      <c r="F11" s="1519"/>
      <c r="G11" s="1519"/>
      <c r="H11" s="1519"/>
      <c r="I11" s="1736"/>
      <c r="J11" s="1730" t="s">
        <v>13</v>
      </c>
      <c r="K11" s="1738" t="s">
        <v>13</v>
      </c>
      <c r="L11" s="1483" t="s">
        <v>13</v>
      </c>
    </row>
    <row r="12" spans="1:15" ht="67.5" customHeight="1" x14ac:dyDescent="0.25">
      <c r="A12" s="1503"/>
      <c r="B12" s="1744"/>
      <c r="C12" s="1744"/>
      <c r="D12" s="1747"/>
      <c r="E12" s="1520"/>
      <c r="F12" s="1520"/>
      <c r="G12" s="1520"/>
      <c r="H12" s="1520"/>
      <c r="I12" s="1737"/>
      <c r="J12" s="1731"/>
      <c r="K12" s="1739"/>
      <c r="L12" s="1484"/>
    </row>
    <row r="13" spans="1:15" ht="15.75" customHeight="1" x14ac:dyDescent="0.25">
      <c r="A13" s="1485" t="s">
        <v>14</v>
      </c>
      <c r="B13" s="1486"/>
      <c r="C13" s="1486"/>
      <c r="D13" s="1486"/>
      <c r="E13" s="1486"/>
      <c r="F13" s="1486"/>
      <c r="G13" s="1486"/>
      <c r="H13" s="1486"/>
      <c r="I13" s="1486"/>
      <c r="J13" s="1486"/>
      <c r="K13" s="1486"/>
      <c r="L13" s="1487"/>
      <c r="M13" s="1749"/>
      <c r="N13" s="1749"/>
      <c r="O13" s="1749"/>
    </row>
    <row r="14" spans="1:15" ht="12" x14ac:dyDescent="0.25">
      <c r="A14" s="25" t="s">
        <v>15</v>
      </c>
      <c r="B14" s="1488" t="s">
        <v>16</v>
      </c>
      <c r="C14" s="1489"/>
      <c r="D14" s="1489"/>
      <c r="E14" s="1489"/>
      <c r="F14" s="1489"/>
      <c r="G14" s="1489"/>
      <c r="H14" s="1489"/>
      <c r="I14" s="1489"/>
      <c r="J14" s="1489"/>
      <c r="K14" s="1489"/>
      <c r="L14" s="1490"/>
    </row>
    <row r="15" spans="1:15" ht="15.75" customHeight="1" x14ac:dyDescent="0.25">
      <c r="A15" s="25" t="s">
        <v>15</v>
      </c>
      <c r="B15" s="26" t="s">
        <v>15</v>
      </c>
      <c r="C15" s="1491" t="s">
        <v>17</v>
      </c>
      <c r="D15" s="1492"/>
      <c r="E15" s="1492"/>
      <c r="F15" s="1492"/>
      <c r="G15" s="1492"/>
      <c r="H15" s="1493"/>
      <c r="I15" s="1493"/>
      <c r="J15" s="1493"/>
      <c r="K15" s="1493"/>
      <c r="L15" s="1494"/>
    </row>
    <row r="16" spans="1:15" ht="22.5" customHeight="1" x14ac:dyDescent="0.25">
      <c r="A16" s="1504" t="s">
        <v>15</v>
      </c>
      <c r="B16" s="1763" t="s">
        <v>15</v>
      </c>
      <c r="C16" s="1748" t="s">
        <v>15</v>
      </c>
      <c r="D16" s="1516" t="s">
        <v>18</v>
      </c>
      <c r="E16" s="1625" t="s">
        <v>19</v>
      </c>
      <c r="F16" s="1583" t="s">
        <v>20</v>
      </c>
      <c r="G16" s="1740" t="s">
        <v>21</v>
      </c>
      <c r="H16" s="1727" t="s">
        <v>22</v>
      </c>
      <c r="I16" s="824" t="s">
        <v>23</v>
      </c>
      <c r="J16" s="825">
        <v>52.1</v>
      </c>
      <c r="K16" s="1029">
        <v>52.1</v>
      </c>
      <c r="L16" s="1114">
        <v>52.1</v>
      </c>
      <c r="N16" s="21"/>
      <c r="O16" s="21"/>
    </row>
    <row r="17" spans="1:16" ht="23.25" customHeight="1" x14ac:dyDescent="0.25">
      <c r="A17" s="1505"/>
      <c r="B17" s="1764"/>
      <c r="C17" s="1722"/>
      <c r="D17" s="1517"/>
      <c r="E17" s="1625"/>
      <c r="F17" s="1582"/>
      <c r="G17" s="1741"/>
      <c r="H17" s="1728"/>
      <c r="I17" s="826" t="s">
        <v>24</v>
      </c>
      <c r="J17" s="789">
        <f>SUM(J16:J16)</f>
        <v>52.1</v>
      </c>
      <c r="K17" s="789">
        <f>SUM(K16:K16)</f>
        <v>52.1</v>
      </c>
      <c r="L17" s="30">
        <f>SUM(L16:L16)</f>
        <v>52.1</v>
      </c>
    </row>
    <row r="18" spans="1:16" ht="23.25" customHeight="1" x14ac:dyDescent="0.25">
      <c r="A18" s="1506" t="s">
        <v>15</v>
      </c>
      <c r="B18" s="1508" t="s">
        <v>15</v>
      </c>
      <c r="C18" s="1510" t="s">
        <v>25</v>
      </c>
      <c r="D18" s="1512" t="s">
        <v>26</v>
      </c>
      <c r="E18" s="1514" t="s">
        <v>19</v>
      </c>
      <c r="F18" s="1530" t="s">
        <v>20</v>
      </c>
      <c r="G18" s="1768" t="s">
        <v>21</v>
      </c>
      <c r="H18" s="1727" t="s">
        <v>22</v>
      </c>
      <c r="I18" s="860" t="s">
        <v>23</v>
      </c>
      <c r="J18" s="634">
        <v>661.4</v>
      </c>
      <c r="K18" s="634">
        <v>661.4</v>
      </c>
      <c r="L18" s="1000">
        <v>661.4</v>
      </c>
    </row>
    <row r="19" spans="1:16" ht="21" customHeight="1" x14ac:dyDescent="0.25">
      <c r="A19" s="1507"/>
      <c r="B19" s="1509"/>
      <c r="C19" s="1511"/>
      <c r="D19" s="1513"/>
      <c r="E19" s="1515"/>
      <c r="F19" s="1531"/>
      <c r="G19" s="1568"/>
      <c r="H19" s="1728"/>
      <c r="I19" s="532" t="s">
        <v>24</v>
      </c>
      <c r="J19" s="33">
        <f>SUM(J18:J18)</f>
        <v>661.4</v>
      </c>
      <c r="K19" s="33">
        <f>SUM(K18:K18)</f>
        <v>661.4</v>
      </c>
      <c r="L19" s="1154">
        <f>SUM(L18:L18)</f>
        <v>661.4</v>
      </c>
    </row>
    <row r="20" spans="1:16" ht="23.25" customHeight="1" x14ac:dyDescent="0.25">
      <c r="A20" s="1506" t="s">
        <v>15</v>
      </c>
      <c r="B20" s="1508" t="s">
        <v>15</v>
      </c>
      <c r="C20" s="1721" t="s">
        <v>27</v>
      </c>
      <c r="D20" s="1724" t="s">
        <v>28</v>
      </c>
      <c r="E20" s="1753" t="s">
        <v>19</v>
      </c>
      <c r="F20" s="1732" t="s">
        <v>20</v>
      </c>
      <c r="G20" s="1756" t="s">
        <v>29</v>
      </c>
      <c r="H20" s="1750" t="s">
        <v>22</v>
      </c>
      <c r="I20" s="533" t="s">
        <v>23</v>
      </c>
      <c r="J20" s="834">
        <f>790.7-16.7+0.6-2.7-36.7-5.9+68+100</f>
        <v>897.3</v>
      </c>
      <c r="K20" s="834">
        <f t="shared" ref="K20:L20" si="0">790.7-16.7</f>
        <v>774</v>
      </c>
      <c r="L20" s="1153">
        <f t="shared" si="0"/>
        <v>774</v>
      </c>
      <c r="P20" s="21"/>
    </row>
    <row r="21" spans="1:16" ht="22.5" customHeight="1" x14ac:dyDescent="0.25">
      <c r="A21" s="1507"/>
      <c r="B21" s="1509"/>
      <c r="C21" s="1722"/>
      <c r="D21" s="1725"/>
      <c r="E21" s="1754"/>
      <c r="F21" s="1733"/>
      <c r="G21" s="1756"/>
      <c r="H21" s="1751"/>
      <c r="I21" s="534" t="s">
        <v>30</v>
      </c>
      <c r="J21" s="16">
        <v>3.1</v>
      </c>
      <c r="K21" s="16">
        <v>0</v>
      </c>
      <c r="L21" s="586">
        <v>0</v>
      </c>
    </row>
    <row r="22" spans="1:16" ht="18" customHeight="1" x14ac:dyDescent="0.25">
      <c r="A22" s="1804"/>
      <c r="B22" s="1805"/>
      <c r="C22" s="1723"/>
      <c r="D22" s="1726"/>
      <c r="E22" s="1755"/>
      <c r="F22" s="1734"/>
      <c r="G22" s="1757"/>
      <c r="H22" s="1752"/>
      <c r="I22" s="1155" t="s">
        <v>24</v>
      </c>
      <c r="J22" s="489">
        <f>SUM(J20:J21)</f>
        <v>900.4</v>
      </c>
      <c r="K22" s="489">
        <f t="shared" ref="K22:L22" si="1">SUM(K20:K21)</f>
        <v>774</v>
      </c>
      <c r="L22" s="30">
        <f t="shared" si="1"/>
        <v>774</v>
      </c>
    </row>
    <row r="23" spans="1:16" ht="27.75" customHeight="1" x14ac:dyDescent="0.25">
      <c r="A23" s="1507" t="s">
        <v>15</v>
      </c>
      <c r="B23" s="1509" t="s">
        <v>15</v>
      </c>
      <c r="C23" s="1825" t="s">
        <v>31</v>
      </c>
      <c r="D23" s="1823" t="s">
        <v>32</v>
      </c>
      <c r="E23" s="1769" t="s">
        <v>19</v>
      </c>
      <c r="F23" s="1733" t="s">
        <v>20</v>
      </c>
      <c r="G23" s="1733" t="s">
        <v>29</v>
      </c>
      <c r="H23" s="1771" t="s">
        <v>22</v>
      </c>
      <c r="I23" s="1156" t="s">
        <v>23</v>
      </c>
      <c r="J23" s="1151">
        <f>4981.6-20</f>
        <v>4961.6000000000004</v>
      </c>
      <c r="K23" s="1151">
        <v>4981.6000000000004</v>
      </c>
      <c r="L23" s="1000">
        <v>4981.6000000000004</v>
      </c>
    </row>
    <row r="24" spans="1:16" ht="15.75" customHeight="1" x14ac:dyDescent="0.25">
      <c r="A24" s="1507"/>
      <c r="B24" s="1509"/>
      <c r="C24" s="1826"/>
      <c r="D24" s="1824"/>
      <c r="E24" s="1770"/>
      <c r="F24" s="1734"/>
      <c r="G24" s="1734"/>
      <c r="H24" s="1772"/>
      <c r="I24" s="536" t="s">
        <v>24</v>
      </c>
      <c r="J24" s="1157">
        <f>SUM(J23)</f>
        <v>4961.6000000000004</v>
      </c>
      <c r="K24" s="1157">
        <f t="shared" ref="K24:L24" si="2">SUM(K23)</f>
        <v>4981.6000000000004</v>
      </c>
      <c r="L24" s="39">
        <f t="shared" si="2"/>
        <v>4981.6000000000004</v>
      </c>
    </row>
    <row r="25" spans="1:16" ht="39" customHeight="1" x14ac:dyDescent="0.25">
      <c r="A25" s="1758" t="s">
        <v>15</v>
      </c>
      <c r="B25" s="1781" t="s">
        <v>15</v>
      </c>
      <c r="C25" s="1778" t="s">
        <v>33</v>
      </c>
      <c r="D25" s="1549" t="s">
        <v>34</v>
      </c>
      <c r="E25" s="733" t="s">
        <v>19</v>
      </c>
      <c r="F25" s="18" t="s">
        <v>35</v>
      </c>
      <c r="G25" s="1786" t="s">
        <v>36</v>
      </c>
      <c r="H25" s="1584" t="s">
        <v>22</v>
      </c>
      <c r="I25" s="1159" t="s">
        <v>23</v>
      </c>
      <c r="J25" s="31">
        <v>119.4</v>
      </c>
      <c r="K25" s="31">
        <v>119.4</v>
      </c>
      <c r="L25" s="575">
        <v>119.4</v>
      </c>
    </row>
    <row r="26" spans="1:16" ht="24.75" customHeight="1" x14ac:dyDescent="0.25">
      <c r="A26" s="1759"/>
      <c r="B26" s="1783"/>
      <c r="C26" s="1779"/>
      <c r="D26" s="1550"/>
      <c r="E26" s="734"/>
      <c r="F26" s="735" t="s">
        <v>37</v>
      </c>
      <c r="G26" s="1787"/>
      <c r="H26" s="1585"/>
      <c r="I26" s="1160" t="s">
        <v>23</v>
      </c>
      <c r="J26" s="454">
        <f>876.1+20+0.6</f>
        <v>896.7</v>
      </c>
      <c r="K26" s="454">
        <v>876.1</v>
      </c>
      <c r="L26" s="1048">
        <v>876.1</v>
      </c>
    </row>
    <row r="27" spans="1:16" ht="25.5" customHeight="1" x14ac:dyDescent="0.25">
      <c r="A27" s="1759"/>
      <c r="B27" s="1783"/>
      <c r="C27" s="1779"/>
      <c r="D27" s="1550"/>
      <c r="E27" s="734"/>
      <c r="F27" s="158" t="s">
        <v>70</v>
      </c>
      <c r="G27" s="1787"/>
      <c r="H27" s="1585"/>
      <c r="I27" s="1160" t="s">
        <v>23</v>
      </c>
      <c r="J27" s="454">
        <f>390+0.6+2.6+2.7-4.4</f>
        <v>391.50000000000006</v>
      </c>
      <c r="K27" s="454">
        <v>390</v>
      </c>
      <c r="L27" s="1048">
        <v>390</v>
      </c>
    </row>
    <row r="28" spans="1:16" ht="27.75" customHeight="1" x14ac:dyDescent="0.25">
      <c r="A28" s="1759"/>
      <c r="B28" s="1783"/>
      <c r="C28" s="1779"/>
      <c r="D28" s="1550"/>
      <c r="E28" s="734"/>
      <c r="F28" s="157" t="s">
        <v>38</v>
      </c>
      <c r="G28" s="1787"/>
      <c r="H28" s="1585"/>
      <c r="I28" s="1160" t="s">
        <v>23</v>
      </c>
      <c r="J28" s="454">
        <f>327.4+17.8</f>
        <v>345.2</v>
      </c>
      <c r="K28" s="454">
        <v>392.6</v>
      </c>
      <c r="L28" s="1048">
        <v>392.6</v>
      </c>
    </row>
    <row r="29" spans="1:16" ht="27" customHeight="1" x14ac:dyDescent="0.25">
      <c r="A29" s="1759"/>
      <c r="B29" s="1783"/>
      <c r="C29" s="1779"/>
      <c r="D29" s="1550"/>
      <c r="E29" s="734"/>
      <c r="F29" s="736" t="s">
        <v>39</v>
      </c>
      <c r="G29" s="1787"/>
      <c r="H29" s="1585"/>
      <c r="I29" s="1160" t="s">
        <v>23</v>
      </c>
      <c r="J29" s="454">
        <f>194.3+0.6+3</f>
        <v>197.9</v>
      </c>
      <c r="K29" s="454">
        <v>194.3</v>
      </c>
      <c r="L29" s="1048">
        <v>194.3</v>
      </c>
    </row>
    <row r="30" spans="1:16" ht="36.75" customHeight="1" x14ac:dyDescent="0.25">
      <c r="A30" s="1759"/>
      <c r="B30" s="1783"/>
      <c r="C30" s="1779"/>
      <c r="D30" s="1550"/>
      <c r="E30" s="734"/>
      <c r="F30" s="157" t="s">
        <v>40</v>
      </c>
      <c r="G30" s="1787"/>
      <c r="H30" s="1585"/>
      <c r="I30" s="1160" t="s">
        <v>23</v>
      </c>
      <c r="J30" s="454">
        <v>205.4</v>
      </c>
      <c r="K30" s="454">
        <v>205.4</v>
      </c>
      <c r="L30" s="1048">
        <v>205.4</v>
      </c>
    </row>
    <row r="31" spans="1:16" ht="36.75" customHeight="1" x14ac:dyDescent="0.25">
      <c r="A31" s="1759"/>
      <c r="B31" s="1783"/>
      <c r="C31" s="1779"/>
      <c r="D31" s="1550"/>
      <c r="E31" s="734"/>
      <c r="F31" s="157" t="s">
        <v>41</v>
      </c>
      <c r="G31" s="1787"/>
      <c r="H31" s="1585"/>
      <c r="I31" s="1160" t="s">
        <v>23</v>
      </c>
      <c r="J31" s="454">
        <f>340.8+4.7+10+3.5</f>
        <v>359</v>
      </c>
      <c r="K31" s="454">
        <v>340.8</v>
      </c>
      <c r="L31" s="1048">
        <v>340.8</v>
      </c>
    </row>
    <row r="32" spans="1:16" ht="36.75" customHeight="1" x14ac:dyDescent="0.25">
      <c r="A32" s="1759"/>
      <c r="B32" s="1783"/>
      <c r="C32" s="1779"/>
      <c r="D32" s="1550"/>
      <c r="E32" s="734"/>
      <c r="F32" s="156" t="s">
        <v>42</v>
      </c>
      <c r="G32" s="1787"/>
      <c r="H32" s="1585"/>
      <c r="I32" s="1160" t="s">
        <v>23</v>
      </c>
      <c r="J32" s="454">
        <f>489.1+2.5+5</f>
        <v>496.6</v>
      </c>
      <c r="K32" s="454">
        <v>489.1</v>
      </c>
      <c r="L32" s="1048">
        <v>489.1</v>
      </c>
    </row>
    <row r="33" spans="1:12" ht="24.75" customHeight="1" x14ac:dyDescent="0.25">
      <c r="A33" s="1759"/>
      <c r="B33" s="1783"/>
      <c r="C33" s="1779"/>
      <c r="D33" s="1550"/>
      <c r="E33" s="734"/>
      <c r="F33" s="157" t="s">
        <v>43</v>
      </c>
      <c r="G33" s="1787"/>
      <c r="H33" s="1585"/>
      <c r="I33" s="1160" t="s">
        <v>23</v>
      </c>
      <c r="J33" s="454">
        <f>287.2-0.6+1.7+1.1+1.1+14.6</f>
        <v>305.10000000000002</v>
      </c>
      <c r="K33" s="454">
        <v>287.2</v>
      </c>
      <c r="L33" s="1048">
        <v>287.2</v>
      </c>
    </row>
    <row r="34" spans="1:12" ht="33" customHeight="1" x14ac:dyDescent="0.25">
      <c r="A34" s="1759"/>
      <c r="B34" s="1783"/>
      <c r="C34" s="1779"/>
      <c r="D34" s="1550"/>
      <c r="E34" s="734"/>
      <c r="F34" s="158" t="s">
        <v>44</v>
      </c>
      <c r="G34" s="1787"/>
      <c r="H34" s="1585"/>
      <c r="I34" s="1160" t="s">
        <v>23</v>
      </c>
      <c r="J34" s="1162">
        <f>362.3-51.3-0.6+0.6+2.8+16.4</f>
        <v>330.2</v>
      </c>
      <c r="K34" s="1162">
        <f t="shared" ref="K34:L34" si="3">362.3-51.3</f>
        <v>311</v>
      </c>
      <c r="L34" s="1158">
        <f t="shared" si="3"/>
        <v>311</v>
      </c>
    </row>
    <row r="35" spans="1:12" ht="40.5" customHeight="1" x14ac:dyDescent="0.25">
      <c r="A35" s="1759"/>
      <c r="B35" s="1783"/>
      <c r="C35" s="1779"/>
      <c r="D35" s="1550"/>
      <c r="E35" s="734"/>
      <c r="F35" s="158" t="s">
        <v>45</v>
      </c>
      <c r="G35" s="1787"/>
      <c r="H35" s="1585"/>
      <c r="I35" s="1160" t="s">
        <v>23</v>
      </c>
      <c r="J35" s="454">
        <f>347.8-18.4+0.6+3.2+0.56+15.7</f>
        <v>349.46000000000004</v>
      </c>
      <c r="K35" s="454">
        <f t="shared" ref="K35:L35" si="4">347.8-18.4</f>
        <v>329.40000000000003</v>
      </c>
      <c r="L35" s="1048">
        <f t="shared" si="4"/>
        <v>329.40000000000003</v>
      </c>
    </row>
    <row r="36" spans="1:12" ht="24" x14ac:dyDescent="0.25">
      <c r="A36" s="1759"/>
      <c r="B36" s="1783"/>
      <c r="C36" s="1779"/>
      <c r="D36" s="1550"/>
      <c r="E36" s="734"/>
      <c r="F36" s="158" t="s">
        <v>46</v>
      </c>
      <c r="G36" s="1787"/>
      <c r="H36" s="1585"/>
      <c r="I36" s="1160" t="s">
        <v>23</v>
      </c>
      <c r="J36" s="454">
        <f>308.5-25.7</f>
        <v>282.8</v>
      </c>
      <c r="K36" s="454">
        <f t="shared" ref="K36:L36" si="5">308.5-25.7</f>
        <v>282.8</v>
      </c>
      <c r="L36" s="1048">
        <f t="shared" si="5"/>
        <v>282.8</v>
      </c>
    </row>
    <row r="37" spans="1:12" ht="27" customHeight="1" x14ac:dyDescent="0.25">
      <c r="A37" s="1759"/>
      <c r="B37" s="1783"/>
      <c r="C37" s="1779"/>
      <c r="D37" s="1550"/>
      <c r="E37" s="734"/>
      <c r="F37" s="157" t="s">
        <v>47</v>
      </c>
      <c r="G37" s="1787"/>
      <c r="H37" s="1585"/>
      <c r="I37" s="1160" t="s">
        <v>23</v>
      </c>
      <c r="J37" s="454">
        <f>624.5-142.7+0.6+0.6+37.8</f>
        <v>520.80000000000007</v>
      </c>
      <c r="K37" s="454">
        <f t="shared" ref="K37:L37" si="6">624.5-142.7</f>
        <v>481.8</v>
      </c>
      <c r="L37" s="1048">
        <f t="shared" si="6"/>
        <v>481.8</v>
      </c>
    </row>
    <row r="38" spans="1:12" ht="34.5" customHeight="1" x14ac:dyDescent="0.25">
      <c r="A38" s="1759"/>
      <c r="B38" s="1783"/>
      <c r="C38" s="1779"/>
      <c r="D38" s="1550"/>
      <c r="E38" s="734"/>
      <c r="F38" s="737" t="s">
        <v>48</v>
      </c>
      <c r="G38" s="1787"/>
      <c r="H38" s="1585"/>
      <c r="I38" s="1160" t="s">
        <v>23</v>
      </c>
      <c r="J38" s="454">
        <f>354.9+0.6</f>
        <v>355.5</v>
      </c>
      <c r="K38" s="454">
        <v>355.9</v>
      </c>
      <c r="L38" s="1048">
        <v>356.9</v>
      </c>
    </row>
    <row r="39" spans="1:12" ht="36.75" customHeight="1" x14ac:dyDescent="0.25">
      <c r="A39" s="1759"/>
      <c r="B39" s="1783"/>
      <c r="C39" s="1779"/>
      <c r="D39" s="1550"/>
      <c r="E39" s="734"/>
      <c r="F39" s="738" t="s">
        <v>49</v>
      </c>
      <c r="G39" s="1787"/>
      <c r="H39" s="1585"/>
      <c r="I39" s="1160" t="s">
        <v>23</v>
      </c>
      <c r="J39" s="454">
        <f>204.9-11</f>
        <v>193.9</v>
      </c>
      <c r="K39" s="454">
        <f t="shared" ref="K39:L39" si="7">204.9-11</f>
        <v>193.9</v>
      </c>
      <c r="L39" s="1048">
        <f t="shared" si="7"/>
        <v>193.9</v>
      </c>
    </row>
    <row r="40" spans="1:12" ht="21" customHeight="1" x14ac:dyDescent="0.25">
      <c r="A40" s="1759"/>
      <c r="B40" s="1783"/>
      <c r="C40" s="1779"/>
      <c r="D40" s="1550"/>
      <c r="E40" s="734"/>
      <c r="F40" s="1532" t="s">
        <v>50</v>
      </c>
      <c r="G40" s="1787"/>
      <c r="H40" s="1585"/>
      <c r="I40" s="1160" t="s">
        <v>23</v>
      </c>
      <c r="J40" s="454">
        <f>75+0.6+1.2+5.55-1.2</f>
        <v>81.149999999999991</v>
      </c>
      <c r="K40" s="454">
        <v>75</v>
      </c>
      <c r="L40" s="1048">
        <v>75</v>
      </c>
    </row>
    <row r="41" spans="1:12" ht="17.25" customHeight="1" x14ac:dyDescent="0.25">
      <c r="A41" s="1759"/>
      <c r="B41" s="1783"/>
      <c r="C41" s="1779"/>
      <c r="D41" s="1550"/>
      <c r="E41" s="734"/>
      <c r="F41" s="1533"/>
      <c r="G41" s="1787"/>
      <c r="H41" s="1585"/>
      <c r="I41" s="1160" t="s">
        <v>30</v>
      </c>
      <c r="J41" s="454">
        <f>0+1.2</f>
        <v>1.2</v>
      </c>
      <c r="K41" s="454">
        <v>0</v>
      </c>
      <c r="L41" s="1048">
        <v>0</v>
      </c>
    </row>
    <row r="42" spans="1:12" ht="33.75" customHeight="1" x14ac:dyDescent="0.25">
      <c r="A42" s="1759"/>
      <c r="B42" s="1783"/>
      <c r="C42" s="1779"/>
      <c r="D42" s="1550"/>
      <c r="E42" s="734"/>
      <c r="F42" s="739" t="s">
        <v>51</v>
      </c>
      <c r="G42" s="1787"/>
      <c r="H42" s="1585"/>
      <c r="I42" s="1160" t="s">
        <v>23</v>
      </c>
      <c r="J42" s="454">
        <f>58.1-1.75</f>
        <v>56.35</v>
      </c>
      <c r="K42" s="454">
        <v>58.1</v>
      </c>
      <c r="L42" s="1048">
        <v>58.1</v>
      </c>
    </row>
    <row r="43" spans="1:12" ht="24" x14ac:dyDescent="0.25">
      <c r="A43" s="1759"/>
      <c r="B43" s="1783"/>
      <c r="C43" s="1779"/>
      <c r="D43" s="1550"/>
      <c r="E43" s="734"/>
      <c r="F43" s="740" t="s">
        <v>52</v>
      </c>
      <c r="G43" s="1787"/>
      <c r="H43" s="1585"/>
      <c r="I43" s="1160" t="s">
        <v>23</v>
      </c>
      <c r="J43" s="454">
        <v>61.2</v>
      </c>
      <c r="K43" s="454">
        <v>61.2</v>
      </c>
      <c r="L43" s="1048">
        <v>61.2</v>
      </c>
    </row>
    <row r="44" spans="1:12" ht="20.25" customHeight="1" x14ac:dyDescent="0.25">
      <c r="A44" s="1759"/>
      <c r="B44" s="1783"/>
      <c r="C44" s="1779"/>
      <c r="D44" s="1550"/>
      <c r="E44" s="734"/>
      <c r="F44" s="1703" t="s">
        <v>53</v>
      </c>
      <c r="G44" s="1787"/>
      <c r="H44" s="1585"/>
      <c r="I44" s="1160" t="s">
        <v>23</v>
      </c>
      <c r="J44" s="454">
        <f>156.3+1+0.5+2</f>
        <v>159.80000000000001</v>
      </c>
      <c r="K44" s="454">
        <v>156.30000000000001</v>
      </c>
      <c r="L44" s="1048">
        <v>156.30000000000001</v>
      </c>
    </row>
    <row r="45" spans="1:12" ht="20.25" customHeight="1" x14ac:dyDescent="0.25">
      <c r="A45" s="1759"/>
      <c r="B45" s="1783"/>
      <c r="C45" s="1779"/>
      <c r="D45" s="1550"/>
      <c r="E45" s="734"/>
      <c r="F45" s="1704"/>
      <c r="G45" s="1787"/>
      <c r="H45" s="1585"/>
      <c r="I45" s="1160" t="s">
        <v>54</v>
      </c>
      <c r="J45" s="454">
        <f>0+35.5</f>
        <v>35.5</v>
      </c>
      <c r="K45" s="454">
        <v>0</v>
      </c>
      <c r="L45" s="1048">
        <v>0</v>
      </c>
    </row>
    <row r="46" spans="1:12" ht="20.25" customHeight="1" x14ac:dyDescent="0.25">
      <c r="A46" s="1759"/>
      <c r="B46" s="1783"/>
      <c r="C46" s="1779"/>
      <c r="D46" s="1550"/>
      <c r="E46" s="734"/>
      <c r="F46" s="1704"/>
      <c r="G46" s="1787"/>
      <c r="H46" s="1585"/>
      <c r="I46" s="1160" t="s">
        <v>30</v>
      </c>
      <c r="J46" s="454">
        <v>0</v>
      </c>
      <c r="K46" s="454">
        <v>0</v>
      </c>
      <c r="L46" s="1048">
        <v>0</v>
      </c>
    </row>
    <row r="47" spans="1:12" ht="20.25" customHeight="1" x14ac:dyDescent="0.25">
      <c r="A47" s="1759"/>
      <c r="B47" s="1783"/>
      <c r="C47" s="1779"/>
      <c r="D47" s="1550"/>
      <c r="E47" s="734"/>
      <c r="F47" s="1705" t="s">
        <v>55</v>
      </c>
      <c r="G47" s="1788"/>
      <c r="H47" s="1585"/>
      <c r="I47" s="1160" t="s">
        <v>23</v>
      </c>
      <c r="J47" s="454">
        <f>311.9+5.8</f>
        <v>317.7</v>
      </c>
      <c r="K47" s="454">
        <v>311.89999999999998</v>
      </c>
      <c r="L47" s="1048">
        <v>311.89999999999998</v>
      </c>
    </row>
    <row r="48" spans="1:12" ht="16.5" customHeight="1" x14ac:dyDescent="0.25">
      <c r="A48" s="1759"/>
      <c r="B48" s="1783"/>
      <c r="C48" s="1779"/>
      <c r="D48" s="1550"/>
      <c r="E48" s="734"/>
      <c r="F48" s="1706"/>
      <c r="G48" s="1788"/>
      <c r="H48" s="1585"/>
      <c r="I48" s="1160" t="s">
        <v>54</v>
      </c>
      <c r="J48" s="454">
        <f>40+5</f>
        <v>45</v>
      </c>
      <c r="K48" s="454">
        <v>0</v>
      </c>
      <c r="L48" s="1048">
        <v>0</v>
      </c>
    </row>
    <row r="49" spans="1:12" ht="32.25" customHeight="1" x14ac:dyDescent="0.25">
      <c r="A49" s="1759"/>
      <c r="B49" s="1783"/>
      <c r="C49" s="1779"/>
      <c r="D49" s="1550"/>
      <c r="E49" s="734"/>
      <c r="F49" s="156" t="s">
        <v>56</v>
      </c>
      <c r="G49" s="1787"/>
      <c r="H49" s="1585"/>
      <c r="I49" s="1160" t="s">
        <v>23</v>
      </c>
      <c r="J49" s="454">
        <f>221.1+0.6-0.4+14.5</f>
        <v>235.79999999999998</v>
      </c>
      <c r="K49" s="454">
        <v>221.1</v>
      </c>
      <c r="L49" s="1048">
        <v>221.1</v>
      </c>
    </row>
    <row r="50" spans="1:12" ht="12" x14ac:dyDescent="0.25">
      <c r="A50" s="1759"/>
      <c r="B50" s="1783"/>
      <c r="C50" s="1779"/>
      <c r="D50" s="1550"/>
      <c r="E50" s="734"/>
      <c r="F50" s="157" t="s">
        <v>57</v>
      </c>
      <c r="G50" s="1787"/>
      <c r="H50" s="1585"/>
      <c r="I50" s="1160" t="s">
        <v>23</v>
      </c>
      <c r="J50" s="454">
        <f>83.1-5</f>
        <v>78.099999999999994</v>
      </c>
      <c r="K50" s="454">
        <v>83.1</v>
      </c>
      <c r="L50" s="1048">
        <v>83.1</v>
      </c>
    </row>
    <row r="51" spans="1:12" ht="24" x14ac:dyDescent="0.25">
      <c r="A51" s="1759"/>
      <c r="B51" s="1783"/>
      <c r="C51" s="1779"/>
      <c r="D51" s="1550"/>
      <c r="E51" s="734"/>
      <c r="F51" s="738" t="s">
        <v>58</v>
      </c>
      <c r="G51" s="1787"/>
      <c r="H51" s="1585"/>
      <c r="I51" s="1160" t="s">
        <v>23</v>
      </c>
      <c r="J51" s="454">
        <f>253.4+1.9</f>
        <v>255.3</v>
      </c>
      <c r="K51" s="454">
        <v>253.4</v>
      </c>
      <c r="L51" s="1048">
        <v>253.4</v>
      </c>
    </row>
    <row r="52" spans="1:12" ht="24" x14ac:dyDescent="0.25">
      <c r="A52" s="1759"/>
      <c r="B52" s="1783"/>
      <c r="C52" s="1779"/>
      <c r="D52" s="1550"/>
      <c r="E52" s="734"/>
      <c r="F52" s="738" t="s">
        <v>59</v>
      </c>
      <c r="G52" s="1787"/>
      <c r="H52" s="1585"/>
      <c r="I52" s="1160" t="s">
        <v>23</v>
      </c>
      <c r="J52" s="454">
        <f>85.5+1.1-19.1</f>
        <v>67.5</v>
      </c>
      <c r="K52" s="454">
        <v>85.5</v>
      </c>
      <c r="L52" s="1048">
        <v>85.5</v>
      </c>
    </row>
    <row r="53" spans="1:12" ht="24" x14ac:dyDescent="0.25">
      <c r="A53" s="1759"/>
      <c r="B53" s="1783"/>
      <c r="C53" s="1779"/>
      <c r="D53" s="1550"/>
      <c r="E53" s="734"/>
      <c r="F53" s="738" t="s">
        <v>60</v>
      </c>
      <c r="G53" s="1787"/>
      <c r="H53" s="1585"/>
      <c r="I53" s="1160" t="s">
        <v>23</v>
      </c>
      <c r="J53" s="454">
        <f>74.7-10.4</f>
        <v>64.3</v>
      </c>
      <c r="K53" s="454">
        <v>74.7</v>
      </c>
      <c r="L53" s="1048">
        <v>74.7</v>
      </c>
    </row>
    <row r="54" spans="1:12" ht="24" x14ac:dyDescent="0.25">
      <c r="A54" s="1759"/>
      <c r="B54" s="1783"/>
      <c r="C54" s="1779"/>
      <c r="D54" s="1550"/>
      <c r="E54" s="734"/>
      <c r="F54" s="738" t="s">
        <v>61</v>
      </c>
      <c r="G54" s="1787"/>
      <c r="H54" s="1585"/>
      <c r="I54" s="1160" t="s">
        <v>23</v>
      </c>
      <c r="J54" s="454">
        <v>101.6</v>
      </c>
      <c r="K54" s="454">
        <v>101.6</v>
      </c>
      <c r="L54" s="1048">
        <v>101.6</v>
      </c>
    </row>
    <row r="55" spans="1:12" ht="12" x14ac:dyDescent="0.25">
      <c r="A55" s="1759"/>
      <c r="B55" s="1783"/>
      <c r="C55" s="1779"/>
      <c r="D55" s="1550"/>
      <c r="E55" s="734"/>
      <c r="F55" s="738" t="s">
        <v>62</v>
      </c>
      <c r="G55" s="1787"/>
      <c r="H55" s="1585"/>
      <c r="I55" s="1160" t="s">
        <v>23</v>
      </c>
      <c r="J55" s="454">
        <f>88.1-3.2</f>
        <v>84.899999999999991</v>
      </c>
      <c r="K55" s="454">
        <v>88.1</v>
      </c>
      <c r="L55" s="1048">
        <v>88.1</v>
      </c>
    </row>
    <row r="56" spans="1:12" ht="24" x14ac:dyDescent="0.25">
      <c r="A56" s="1759"/>
      <c r="B56" s="1783"/>
      <c r="C56" s="1779"/>
      <c r="D56" s="1550"/>
      <c r="E56" s="734"/>
      <c r="F56" s="739" t="s">
        <v>63</v>
      </c>
      <c r="G56" s="1787"/>
      <c r="H56" s="1585"/>
      <c r="I56" s="1160" t="s">
        <v>23</v>
      </c>
      <c r="J56" s="454">
        <f>97.7-5</f>
        <v>92.7</v>
      </c>
      <c r="K56" s="454">
        <v>97.7</v>
      </c>
      <c r="L56" s="1048">
        <v>97.7</v>
      </c>
    </row>
    <row r="57" spans="1:12" ht="24" x14ac:dyDescent="0.25">
      <c r="A57" s="1759"/>
      <c r="B57" s="1783"/>
      <c r="C57" s="1779"/>
      <c r="D57" s="1550"/>
      <c r="E57" s="1775"/>
      <c r="F57" s="739" t="s">
        <v>64</v>
      </c>
      <c r="G57" s="1787"/>
      <c r="H57" s="1585"/>
      <c r="I57" s="1160" t="s">
        <v>23</v>
      </c>
      <c r="J57" s="454">
        <f>297.8+13+20</f>
        <v>330.8</v>
      </c>
      <c r="K57" s="454">
        <v>297.8</v>
      </c>
      <c r="L57" s="1048">
        <v>297.8</v>
      </c>
    </row>
    <row r="58" spans="1:12" ht="30.75" customHeight="1" x14ac:dyDescent="0.25">
      <c r="A58" s="1759"/>
      <c r="B58" s="1783"/>
      <c r="C58" s="1779"/>
      <c r="D58" s="1550"/>
      <c r="E58" s="1775"/>
      <c r="F58" s="1575" t="s">
        <v>65</v>
      </c>
      <c r="G58" s="1787"/>
      <c r="H58" s="1585"/>
      <c r="I58" s="1161" t="s">
        <v>23</v>
      </c>
      <c r="J58" s="402">
        <v>5.2</v>
      </c>
      <c r="K58" s="402">
        <v>5.2</v>
      </c>
      <c r="L58" s="578">
        <v>5.2</v>
      </c>
    </row>
    <row r="59" spans="1:12" ht="18" customHeight="1" x14ac:dyDescent="0.25">
      <c r="A59" s="1760"/>
      <c r="B59" s="1784"/>
      <c r="C59" s="1780"/>
      <c r="D59" s="1551"/>
      <c r="E59" s="1775"/>
      <c r="F59" s="1576"/>
      <c r="G59" s="1787"/>
      <c r="H59" s="1585"/>
      <c r="I59" s="536" t="s">
        <v>24</v>
      </c>
      <c r="J59" s="1163">
        <f>SUM(J25:J58)</f>
        <v>7423.56</v>
      </c>
      <c r="K59" s="699">
        <f t="shared" ref="K59:L59" si="8">SUM(K25:K58)</f>
        <v>7220.4</v>
      </c>
      <c r="L59" s="1164">
        <f t="shared" si="8"/>
        <v>7221.4</v>
      </c>
    </row>
    <row r="60" spans="1:12" ht="18" customHeight="1" x14ac:dyDescent="0.25">
      <c r="A60" s="1758" t="s">
        <v>15</v>
      </c>
      <c r="B60" s="1781" t="s">
        <v>15</v>
      </c>
      <c r="C60" s="1561" t="s">
        <v>66</v>
      </c>
      <c r="D60" s="1529" t="s">
        <v>67</v>
      </c>
      <c r="E60" s="1514"/>
      <c r="F60" s="1712" t="s">
        <v>35</v>
      </c>
      <c r="G60" s="1827" t="s">
        <v>68</v>
      </c>
      <c r="H60" s="1526" t="s">
        <v>22</v>
      </c>
      <c r="I60" s="1159" t="s">
        <v>23</v>
      </c>
      <c r="J60" s="31">
        <v>4.7</v>
      </c>
      <c r="K60" s="31">
        <v>4.7</v>
      </c>
      <c r="L60" s="575">
        <v>4.7</v>
      </c>
    </row>
    <row r="61" spans="1:12" ht="18" customHeight="1" x14ac:dyDescent="0.25">
      <c r="A61" s="1766"/>
      <c r="B61" s="1782"/>
      <c r="C61" s="1562"/>
      <c r="D61" s="1529"/>
      <c r="E61" s="1515"/>
      <c r="F61" s="1533"/>
      <c r="G61" s="1828"/>
      <c r="H61" s="1527"/>
      <c r="I61" s="1166" t="s">
        <v>30</v>
      </c>
      <c r="J61" s="393">
        <v>0.1</v>
      </c>
      <c r="K61" s="393">
        <v>0</v>
      </c>
      <c r="L61" s="942">
        <v>0</v>
      </c>
    </row>
    <row r="62" spans="1:12" ht="23.25" customHeight="1" x14ac:dyDescent="0.25">
      <c r="A62" s="1759"/>
      <c r="B62" s="1783"/>
      <c r="C62" s="1563"/>
      <c r="D62" s="1529"/>
      <c r="E62" s="1515"/>
      <c r="F62" s="741" t="s">
        <v>69</v>
      </c>
      <c r="G62" s="1828"/>
      <c r="H62" s="1527"/>
      <c r="I62" s="1167" t="s">
        <v>23</v>
      </c>
      <c r="J62" s="396">
        <f>51+50+15.6</f>
        <v>116.6</v>
      </c>
      <c r="K62" s="396">
        <v>51</v>
      </c>
      <c r="L62" s="1022">
        <v>51</v>
      </c>
    </row>
    <row r="63" spans="1:12" ht="18" customHeight="1" x14ac:dyDescent="0.25">
      <c r="A63" s="1759"/>
      <c r="B63" s="1783"/>
      <c r="C63" s="1563"/>
      <c r="D63" s="1529"/>
      <c r="E63" s="1515"/>
      <c r="F63" s="1713" t="s">
        <v>37</v>
      </c>
      <c r="G63" s="1828"/>
      <c r="H63" s="1527"/>
      <c r="I63" s="1159" t="s">
        <v>23</v>
      </c>
      <c r="J63" s="31">
        <f>112.8+1.8+2.3+2.7</f>
        <v>119.6</v>
      </c>
      <c r="K63" s="31">
        <v>112.8</v>
      </c>
      <c r="L63" s="575">
        <v>112.8</v>
      </c>
    </row>
    <row r="64" spans="1:12" ht="18" customHeight="1" x14ac:dyDescent="0.25">
      <c r="A64" s="1759"/>
      <c r="B64" s="1783"/>
      <c r="C64" s="1563"/>
      <c r="D64" s="1529"/>
      <c r="E64" s="1515"/>
      <c r="F64" s="1714"/>
      <c r="G64" s="1828"/>
      <c r="H64" s="1527"/>
      <c r="I64" s="1166" t="s">
        <v>30</v>
      </c>
      <c r="J64" s="399">
        <v>0.5</v>
      </c>
      <c r="K64" s="399">
        <v>0</v>
      </c>
      <c r="L64" s="641">
        <v>0</v>
      </c>
    </row>
    <row r="65" spans="1:12" ht="18" customHeight="1" x14ac:dyDescent="0.25">
      <c r="A65" s="1759"/>
      <c r="B65" s="1783"/>
      <c r="C65" s="1563"/>
      <c r="D65" s="1529"/>
      <c r="E65" s="1515"/>
      <c r="F65" s="1532" t="s">
        <v>70</v>
      </c>
      <c r="G65" s="1828"/>
      <c r="H65" s="1527"/>
      <c r="I65" s="1159" t="s">
        <v>23</v>
      </c>
      <c r="J65" s="31">
        <v>95.1</v>
      </c>
      <c r="K65" s="31">
        <v>95.1</v>
      </c>
      <c r="L65" s="575">
        <v>95.1</v>
      </c>
    </row>
    <row r="66" spans="1:12" ht="18" customHeight="1" x14ac:dyDescent="0.25">
      <c r="A66" s="1759"/>
      <c r="B66" s="1783"/>
      <c r="C66" s="1563"/>
      <c r="D66" s="1529"/>
      <c r="E66" s="1515"/>
      <c r="F66" s="1525"/>
      <c r="G66" s="1828"/>
      <c r="H66" s="1527"/>
      <c r="I66" s="1168" t="s">
        <v>54</v>
      </c>
      <c r="J66" s="454">
        <v>93</v>
      </c>
      <c r="K66" s="454">
        <v>93</v>
      </c>
      <c r="L66" s="1048">
        <v>93</v>
      </c>
    </row>
    <row r="67" spans="1:12" ht="18" customHeight="1" x14ac:dyDescent="0.25">
      <c r="A67" s="1759"/>
      <c r="B67" s="1783"/>
      <c r="C67" s="1563"/>
      <c r="D67" s="1529"/>
      <c r="E67" s="1515"/>
      <c r="F67" s="1525"/>
      <c r="G67" s="1828"/>
      <c r="H67" s="1527"/>
      <c r="I67" s="1166" t="s">
        <v>30</v>
      </c>
      <c r="J67" s="399">
        <f>5.3+32.9</f>
        <v>38.199999999999996</v>
      </c>
      <c r="K67" s="399">
        <v>0</v>
      </c>
      <c r="L67" s="641">
        <v>0</v>
      </c>
    </row>
    <row r="68" spans="1:12" ht="18" customHeight="1" x14ac:dyDescent="0.25">
      <c r="A68" s="1759"/>
      <c r="B68" s="1783"/>
      <c r="C68" s="1563"/>
      <c r="D68" s="1529"/>
      <c r="E68" s="1773"/>
      <c r="F68" s="1522" t="s">
        <v>38</v>
      </c>
      <c r="G68" s="1829"/>
      <c r="H68" s="1527"/>
      <c r="I68" s="1159" t="s">
        <v>23</v>
      </c>
      <c r="J68" s="31">
        <f>86+31+18.9+3.8+7.7+0.2</f>
        <v>147.6</v>
      </c>
      <c r="K68" s="31">
        <v>86</v>
      </c>
      <c r="L68" s="575">
        <v>86</v>
      </c>
    </row>
    <row r="69" spans="1:12" ht="18" customHeight="1" x14ac:dyDescent="0.25">
      <c r="A69" s="1759"/>
      <c r="B69" s="1783"/>
      <c r="C69" s="1563"/>
      <c r="D69" s="1529"/>
      <c r="E69" s="1773"/>
      <c r="F69" s="1523"/>
      <c r="G69" s="1829"/>
      <c r="H69" s="1527"/>
      <c r="I69" s="1168" t="s">
        <v>54</v>
      </c>
      <c r="J69" s="454">
        <v>104</v>
      </c>
      <c r="K69" s="454">
        <v>104</v>
      </c>
      <c r="L69" s="1048">
        <v>104</v>
      </c>
    </row>
    <row r="70" spans="1:12" ht="18" customHeight="1" x14ac:dyDescent="0.25">
      <c r="A70" s="1759"/>
      <c r="B70" s="1783"/>
      <c r="C70" s="1563"/>
      <c r="D70" s="1529"/>
      <c r="E70" s="1773"/>
      <c r="F70" s="1524"/>
      <c r="G70" s="1829"/>
      <c r="H70" s="1527"/>
      <c r="I70" s="1169" t="s">
        <v>30</v>
      </c>
      <c r="J70" s="402">
        <f>0.1+43.6</f>
        <v>43.7</v>
      </c>
      <c r="K70" s="402">
        <v>0</v>
      </c>
      <c r="L70" s="578">
        <v>0</v>
      </c>
    </row>
    <row r="71" spans="1:12" ht="18" customHeight="1" x14ac:dyDescent="0.25">
      <c r="A71" s="1759"/>
      <c r="B71" s="1783"/>
      <c r="C71" s="1563"/>
      <c r="D71" s="1529"/>
      <c r="E71" s="1773"/>
      <c r="F71" s="1707" t="s">
        <v>39</v>
      </c>
      <c r="G71" s="1829"/>
      <c r="H71" s="1527"/>
      <c r="I71" s="1168" t="s">
        <v>23</v>
      </c>
      <c r="J71" s="634">
        <f>66.8+2+0.2</f>
        <v>69</v>
      </c>
      <c r="K71" s="634">
        <v>66.8</v>
      </c>
      <c r="L71" s="1049">
        <v>66.8</v>
      </c>
    </row>
    <row r="72" spans="1:12" ht="18" customHeight="1" x14ac:dyDescent="0.25">
      <c r="A72" s="1759"/>
      <c r="B72" s="1783"/>
      <c r="C72" s="1563"/>
      <c r="D72" s="1529"/>
      <c r="E72" s="1773"/>
      <c r="F72" s="1708"/>
      <c r="G72" s="1829"/>
      <c r="H72" s="1527"/>
      <c r="I72" s="1168" t="s">
        <v>54</v>
      </c>
      <c r="J72" s="454">
        <v>29</v>
      </c>
      <c r="K72" s="454">
        <v>29</v>
      </c>
      <c r="L72" s="1048">
        <v>29</v>
      </c>
    </row>
    <row r="73" spans="1:12" ht="18" customHeight="1" x14ac:dyDescent="0.25">
      <c r="A73" s="1759"/>
      <c r="B73" s="1783"/>
      <c r="C73" s="1563"/>
      <c r="D73" s="1529"/>
      <c r="E73" s="1773"/>
      <c r="F73" s="1709"/>
      <c r="G73" s="1829"/>
      <c r="H73" s="1527"/>
      <c r="I73" s="1166" t="s">
        <v>30</v>
      </c>
      <c r="J73" s="399">
        <v>0.7</v>
      </c>
      <c r="K73" s="399">
        <v>0</v>
      </c>
      <c r="L73" s="641">
        <v>0</v>
      </c>
    </row>
    <row r="74" spans="1:12" ht="18" customHeight="1" x14ac:dyDescent="0.25">
      <c r="A74" s="1759"/>
      <c r="B74" s="1783"/>
      <c r="C74" s="1563"/>
      <c r="D74" s="1529"/>
      <c r="E74" s="1773"/>
      <c r="F74" s="1522" t="s">
        <v>40</v>
      </c>
      <c r="G74" s="1829"/>
      <c r="H74" s="1527"/>
      <c r="I74" s="1159" t="s">
        <v>23</v>
      </c>
      <c r="J74" s="31">
        <f>47.6+1.9+0.2</f>
        <v>49.7</v>
      </c>
      <c r="K74" s="31">
        <v>47.6</v>
      </c>
      <c r="L74" s="575">
        <v>47.6</v>
      </c>
    </row>
    <row r="75" spans="1:12" ht="18" customHeight="1" x14ac:dyDescent="0.25">
      <c r="A75" s="1759"/>
      <c r="B75" s="1783"/>
      <c r="C75" s="1563"/>
      <c r="D75" s="1529"/>
      <c r="E75" s="1773"/>
      <c r="F75" s="1523"/>
      <c r="G75" s="1829"/>
      <c r="H75" s="1527"/>
      <c r="I75" s="1168" t="s">
        <v>54</v>
      </c>
      <c r="J75" s="454">
        <v>29</v>
      </c>
      <c r="K75" s="454">
        <v>29</v>
      </c>
      <c r="L75" s="1048">
        <v>29</v>
      </c>
    </row>
    <row r="76" spans="1:12" ht="18" customHeight="1" x14ac:dyDescent="0.25">
      <c r="A76" s="1759"/>
      <c r="B76" s="1783"/>
      <c r="C76" s="1563"/>
      <c r="D76" s="1529"/>
      <c r="E76" s="1773"/>
      <c r="F76" s="1524"/>
      <c r="G76" s="1829"/>
      <c r="H76" s="1527"/>
      <c r="I76" s="1166" t="s">
        <v>30</v>
      </c>
      <c r="J76" s="399">
        <f>3.1+8.2</f>
        <v>11.299999999999999</v>
      </c>
      <c r="K76" s="399">
        <v>0</v>
      </c>
      <c r="L76" s="641">
        <v>0</v>
      </c>
    </row>
    <row r="77" spans="1:12" ht="18" customHeight="1" x14ac:dyDescent="0.25">
      <c r="A77" s="1759"/>
      <c r="B77" s="1783"/>
      <c r="C77" s="1563"/>
      <c r="D77" s="1529"/>
      <c r="E77" s="1515"/>
      <c r="F77" s="1525" t="s">
        <v>41</v>
      </c>
      <c r="G77" s="1828"/>
      <c r="H77" s="1527"/>
      <c r="I77" s="1159" t="s">
        <v>23</v>
      </c>
      <c r="J77" s="31">
        <f>96.3+3.5+1.4+0.2-5.9</f>
        <v>95.5</v>
      </c>
      <c r="K77" s="31">
        <v>96.3</v>
      </c>
      <c r="L77" s="575">
        <v>96.3</v>
      </c>
    </row>
    <row r="78" spans="1:12" ht="18" customHeight="1" x14ac:dyDescent="0.25">
      <c r="A78" s="1759"/>
      <c r="B78" s="1783"/>
      <c r="C78" s="1563"/>
      <c r="D78" s="1529"/>
      <c r="E78" s="1515"/>
      <c r="F78" s="1525"/>
      <c r="G78" s="1828"/>
      <c r="H78" s="1527"/>
      <c r="I78" s="1168" t="s">
        <v>54</v>
      </c>
      <c r="J78" s="454">
        <v>49</v>
      </c>
      <c r="K78" s="454">
        <v>49</v>
      </c>
      <c r="L78" s="1048">
        <v>49</v>
      </c>
    </row>
    <row r="79" spans="1:12" ht="18" customHeight="1" x14ac:dyDescent="0.25">
      <c r="A79" s="1759"/>
      <c r="B79" s="1783"/>
      <c r="C79" s="1563"/>
      <c r="D79" s="1529"/>
      <c r="E79" s="1515"/>
      <c r="F79" s="1525"/>
      <c r="G79" s="1828"/>
      <c r="H79" s="1527"/>
      <c r="I79" s="1166" t="s">
        <v>30</v>
      </c>
      <c r="J79" s="399">
        <f>2.3+2.7</f>
        <v>5</v>
      </c>
      <c r="K79" s="399">
        <v>0</v>
      </c>
      <c r="L79" s="641">
        <v>0</v>
      </c>
    </row>
    <row r="80" spans="1:12" ht="18" customHeight="1" x14ac:dyDescent="0.25">
      <c r="A80" s="1759"/>
      <c r="B80" s="1783"/>
      <c r="C80" s="1563"/>
      <c r="D80" s="1529"/>
      <c r="E80" s="1773"/>
      <c r="F80" s="1522" t="s">
        <v>42</v>
      </c>
      <c r="G80" s="1829"/>
      <c r="H80" s="1527"/>
      <c r="I80" s="1159" t="s">
        <v>23</v>
      </c>
      <c r="J80" s="31">
        <f>117.2+2+0.2</f>
        <v>119.4</v>
      </c>
      <c r="K80" s="31">
        <v>117.2</v>
      </c>
      <c r="L80" s="575">
        <v>117.2</v>
      </c>
    </row>
    <row r="81" spans="1:12" ht="18" customHeight="1" x14ac:dyDescent="0.25">
      <c r="A81" s="1759"/>
      <c r="B81" s="1783"/>
      <c r="C81" s="1563"/>
      <c r="D81" s="1529"/>
      <c r="E81" s="1773"/>
      <c r="F81" s="1523"/>
      <c r="G81" s="1829"/>
      <c r="H81" s="1527"/>
      <c r="I81" s="1168" t="s">
        <v>54</v>
      </c>
      <c r="J81" s="454">
        <v>71.099999999999994</v>
      </c>
      <c r="K81" s="454">
        <v>71.099999999999994</v>
      </c>
      <c r="L81" s="1048">
        <v>71.099999999999994</v>
      </c>
    </row>
    <row r="82" spans="1:12" ht="18" customHeight="1" x14ac:dyDescent="0.25">
      <c r="A82" s="1759"/>
      <c r="B82" s="1783"/>
      <c r="C82" s="1563"/>
      <c r="D82" s="1529"/>
      <c r="E82" s="1773"/>
      <c r="F82" s="1524"/>
      <c r="G82" s="1829"/>
      <c r="H82" s="1527"/>
      <c r="I82" s="1166" t="s">
        <v>30</v>
      </c>
      <c r="J82" s="399">
        <f>3.7+0.1</f>
        <v>3.8000000000000003</v>
      </c>
      <c r="K82" s="399">
        <v>0</v>
      </c>
      <c r="L82" s="641">
        <v>0</v>
      </c>
    </row>
    <row r="83" spans="1:12" ht="18" customHeight="1" x14ac:dyDescent="0.25">
      <c r="A83" s="1759"/>
      <c r="B83" s="1783"/>
      <c r="C83" s="1563"/>
      <c r="D83" s="1529"/>
      <c r="E83" s="1515"/>
      <c r="F83" s="1525" t="s">
        <v>43</v>
      </c>
      <c r="G83" s="1828"/>
      <c r="H83" s="1527"/>
      <c r="I83" s="1159" t="s">
        <v>23</v>
      </c>
      <c r="J83" s="31">
        <f>132.8+16+4+16.3</f>
        <v>169.10000000000002</v>
      </c>
      <c r="K83" s="31">
        <v>132.80000000000001</v>
      </c>
      <c r="L83" s="575">
        <v>132.80000000000001</v>
      </c>
    </row>
    <row r="84" spans="1:12" ht="18" customHeight="1" x14ac:dyDescent="0.25">
      <c r="A84" s="1759"/>
      <c r="B84" s="1783"/>
      <c r="C84" s="1563"/>
      <c r="D84" s="1529"/>
      <c r="E84" s="1515"/>
      <c r="F84" s="1525"/>
      <c r="G84" s="1828"/>
      <c r="H84" s="1527"/>
      <c r="I84" s="1168" t="s">
        <v>54</v>
      </c>
      <c r="J84" s="454">
        <v>6</v>
      </c>
      <c r="K84" s="454">
        <v>6</v>
      </c>
      <c r="L84" s="1048">
        <v>6</v>
      </c>
    </row>
    <row r="85" spans="1:12" ht="18" customHeight="1" x14ac:dyDescent="0.25">
      <c r="A85" s="1759"/>
      <c r="B85" s="1783"/>
      <c r="C85" s="1563"/>
      <c r="D85" s="1529"/>
      <c r="E85" s="1515"/>
      <c r="F85" s="1525"/>
      <c r="G85" s="1828"/>
      <c r="H85" s="1527"/>
      <c r="I85" s="1166" t="s">
        <v>30</v>
      </c>
      <c r="J85" s="399">
        <f>18.5+1.4</f>
        <v>19.899999999999999</v>
      </c>
      <c r="K85" s="399">
        <v>0</v>
      </c>
      <c r="L85" s="641">
        <v>0</v>
      </c>
    </row>
    <row r="86" spans="1:12" ht="18" customHeight="1" x14ac:dyDescent="0.25">
      <c r="A86" s="1759"/>
      <c r="B86" s="1783"/>
      <c r="C86" s="1563"/>
      <c r="D86" s="1529"/>
      <c r="E86" s="1773"/>
      <c r="F86" s="1522" t="s">
        <v>44</v>
      </c>
      <c r="G86" s="1829"/>
      <c r="H86" s="1527"/>
      <c r="I86" s="1159" t="s">
        <v>23</v>
      </c>
      <c r="J86" s="31">
        <f>182.8+42.3+10.2+31.9+8.4+17.1+17+22.3</f>
        <v>332</v>
      </c>
      <c r="K86" s="31">
        <v>182.8</v>
      </c>
      <c r="L86" s="575">
        <v>182.8</v>
      </c>
    </row>
    <row r="87" spans="1:12" ht="18" customHeight="1" x14ac:dyDescent="0.25">
      <c r="A87" s="1759"/>
      <c r="B87" s="1783"/>
      <c r="C87" s="1563"/>
      <c r="D87" s="1529"/>
      <c r="E87" s="1773"/>
      <c r="F87" s="1523"/>
      <c r="G87" s="1829"/>
      <c r="H87" s="1527"/>
      <c r="I87" s="1168" t="s">
        <v>54</v>
      </c>
      <c r="J87" s="454">
        <v>2</v>
      </c>
      <c r="K87" s="454">
        <v>2</v>
      </c>
      <c r="L87" s="1048">
        <v>2</v>
      </c>
    </row>
    <row r="88" spans="1:12" ht="18" customHeight="1" x14ac:dyDescent="0.25">
      <c r="A88" s="1759"/>
      <c r="B88" s="1783"/>
      <c r="C88" s="1563"/>
      <c r="D88" s="1529"/>
      <c r="E88" s="1773"/>
      <c r="F88" s="1524"/>
      <c r="G88" s="1829"/>
      <c r="H88" s="1527"/>
      <c r="I88" s="1166" t="s">
        <v>30</v>
      </c>
      <c r="J88" s="399">
        <f>20.1+0.5</f>
        <v>20.6</v>
      </c>
      <c r="K88" s="399">
        <v>0</v>
      </c>
      <c r="L88" s="641">
        <v>0</v>
      </c>
    </row>
    <row r="89" spans="1:12" ht="18" customHeight="1" x14ac:dyDescent="0.25">
      <c r="A89" s="1759"/>
      <c r="B89" s="1783"/>
      <c r="C89" s="1563"/>
      <c r="D89" s="1529"/>
      <c r="E89" s="1773"/>
      <c r="F89" s="1522" t="s">
        <v>45</v>
      </c>
      <c r="G89" s="1829"/>
      <c r="H89" s="1527"/>
      <c r="I89" s="1159" t="s">
        <v>23</v>
      </c>
      <c r="J89" s="31">
        <f>164.4+6.4+23+15.2</f>
        <v>209</v>
      </c>
      <c r="K89" s="31">
        <v>164.4</v>
      </c>
      <c r="L89" s="575">
        <v>164.4</v>
      </c>
    </row>
    <row r="90" spans="1:12" ht="18" customHeight="1" x14ac:dyDescent="0.25">
      <c r="A90" s="1759"/>
      <c r="B90" s="1783"/>
      <c r="C90" s="1563"/>
      <c r="D90" s="1529"/>
      <c r="E90" s="1773"/>
      <c r="F90" s="1523"/>
      <c r="G90" s="1829"/>
      <c r="H90" s="1527"/>
      <c r="I90" s="1168" t="s">
        <v>54</v>
      </c>
      <c r="J90" s="454">
        <f>22.1-6</f>
        <v>16.100000000000001</v>
      </c>
      <c r="K90" s="454">
        <v>22.1</v>
      </c>
      <c r="L90" s="1048">
        <v>22.1</v>
      </c>
    </row>
    <row r="91" spans="1:12" ht="18" customHeight="1" x14ac:dyDescent="0.25">
      <c r="A91" s="1759"/>
      <c r="B91" s="1783"/>
      <c r="C91" s="1563"/>
      <c r="D91" s="1529"/>
      <c r="E91" s="1773"/>
      <c r="F91" s="1524"/>
      <c r="G91" s="1829"/>
      <c r="H91" s="1527"/>
      <c r="I91" s="1166" t="s">
        <v>30</v>
      </c>
      <c r="J91" s="399">
        <f>12.7+3.3</f>
        <v>16</v>
      </c>
      <c r="K91" s="399">
        <v>0</v>
      </c>
      <c r="L91" s="641">
        <v>0</v>
      </c>
    </row>
    <row r="92" spans="1:12" ht="18" customHeight="1" x14ac:dyDescent="0.25">
      <c r="A92" s="1759"/>
      <c r="B92" s="1783"/>
      <c r="C92" s="1563"/>
      <c r="D92" s="1529"/>
      <c r="E92" s="1515"/>
      <c r="F92" s="1525" t="s">
        <v>46</v>
      </c>
      <c r="G92" s="1828"/>
      <c r="H92" s="1527"/>
      <c r="I92" s="1159" t="s">
        <v>23</v>
      </c>
      <c r="J92" s="31">
        <f>98.7+1.3+24.1+3.4+1.7</f>
        <v>129.19999999999999</v>
      </c>
      <c r="K92" s="31">
        <v>98.7</v>
      </c>
      <c r="L92" s="575">
        <v>98.7</v>
      </c>
    </row>
    <row r="93" spans="1:12" ht="18" customHeight="1" x14ac:dyDescent="0.25">
      <c r="A93" s="1759"/>
      <c r="B93" s="1783"/>
      <c r="C93" s="1563"/>
      <c r="D93" s="1529"/>
      <c r="E93" s="1515"/>
      <c r="F93" s="1525"/>
      <c r="G93" s="1828"/>
      <c r="H93" s="1527"/>
      <c r="I93" s="1168" t="s">
        <v>54</v>
      </c>
      <c r="J93" s="454">
        <v>19</v>
      </c>
      <c r="K93" s="454">
        <v>19</v>
      </c>
      <c r="L93" s="1048">
        <v>19</v>
      </c>
    </row>
    <row r="94" spans="1:12" ht="18" customHeight="1" x14ac:dyDescent="0.25">
      <c r="A94" s="1759"/>
      <c r="B94" s="1783"/>
      <c r="C94" s="1563"/>
      <c r="D94" s="1529"/>
      <c r="E94" s="1515"/>
      <c r="F94" s="1525"/>
      <c r="G94" s="1828"/>
      <c r="H94" s="1527"/>
      <c r="I94" s="1166" t="s">
        <v>30</v>
      </c>
      <c r="J94" s="399">
        <f>1.8+0.3</f>
        <v>2.1</v>
      </c>
      <c r="K94" s="399">
        <v>0</v>
      </c>
      <c r="L94" s="641">
        <v>0</v>
      </c>
    </row>
    <row r="95" spans="1:12" ht="18" customHeight="1" x14ac:dyDescent="0.25">
      <c r="A95" s="1759"/>
      <c r="B95" s="1783"/>
      <c r="C95" s="1563"/>
      <c r="D95" s="1529"/>
      <c r="E95" s="1773"/>
      <c r="F95" s="1522" t="s">
        <v>47</v>
      </c>
      <c r="G95" s="1829"/>
      <c r="H95" s="1527"/>
      <c r="I95" s="1159" t="s">
        <v>23</v>
      </c>
      <c r="J95" s="31">
        <f>270.3+37.2</f>
        <v>307.5</v>
      </c>
      <c r="K95" s="31">
        <v>270.3</v>
      </c>
      <c r="L95" s="575">
        <v>270.3</v>
      </c>
    </row>
    <row r="96" spans="1:12" ht="18" customHeight="1" x14ac:dyDescent="0.25">
      <c r="A96" s="1759"/>
      <c r="B96" s="1783"/>
      <c r="C96" s="1563"/>
      <c r="D96" s="1529"/>
      <c r="E96" s="1773"/>
      <c r="F96" s="1523"/>
      <c r="G96" s="1829"/>
      <c r="H96" s="1527"/>
      <c r="I96" s="1168" t="s">
        <v>54</v>
      </c>
      <c r="J96" s="454">
        <v>23</v>
      </c>
      <c r="K96" s="454">
        <v>23</v>
      </c>
      <c r="L96" s="1048">
        <v>23</v>
      </c>
    </row>
    <row r="97" spans="1:12" ht="18" customHeight="1" x14ac:dyDescent="0.25">
      <c r="A97" s="1759"/>
      <c r="B97" s="1783"/>
      <c r="C97" s="1563"/>
      <c r="D97" s="1529"/>
      <c r="E97" s="1773"/>
      <c r="F97" s="1524"/>
      <c r="G97" s="1829"/>
      <c r="H97" s="1527"/>
      <c r="I97" s="1166" t="s">
        <v>30</v>
      </c>
      <c r="J97" s="399">
        <f>6.2+5.1-0.4</f>
        <v>10.9</v>
      </c>
      <c r="K97" s="399">
        <v>0</v>
      </c>
      <c r="L97" s="641">
        <v>0</v>
      </c>
    </row>
    <row r="98" spans="1:12" ht="18" customHeight="1" x14ac:dyDescent="0.25">
      <c r="A98" s="1759"/>
      <c r="B98" s="1783"/>
      <c r="C98" s="1563"/>
      <c r="D98" s="1529"/>
      <c r="E98" s="1773"/>
      <c r="F98" s="1522" t="s">
        <v>48</v>
      </c>
      <c r="G98" s="1829"/>
      <c r="H98" s="1527"/>
      <c r="I98" s="1159" t="s">
        <v>23</v>
      </c>
      <c r="J98" s="31">
        <f>136+24.7</f>
        <v>160.69999999999999</v>
      </c>
      <c r="K98" s="31">
        <v>136</v>
      </c>
      <c r="L98" s="575">
        <v>136</v>
      </c>
    </row>
    <row r="99" spans="1:12" ht="18" customHeight="1" x14ac:dyDescent="0.25">
      <c r="A99" s="1759"/>
      <c r="B99" s="1783"/>
      <c r="C99" s="1563"/>
      <c r="D99" s="1529"/>
      <c r="E99" s="1773"/>
      <c r="F99" s="1523"/>
      <c r="G99" s="1829"/>
      <c r="H99" s="1527"/>
      <c r="I99" s="1168" t="s">
        <v>54</v>
      </c>
      <c r="J99" s="454">
        <v>23.4</v>
      </c>
      <c r="K99" s="454">
        <v>23.4</v>
      </c>
      <c r="L99" s="1048">
        <v>23.4</v>
      </c>
    </row>
    <row r="100" spans="1:12" ht="21" customHeight="1" x14ac:dyDescent="0.25">
      <c r="A100" s="1759"/>
      <c r="B100" s="1783"/>
      <c r="C100" s="1563"/>
      <c r="D100" s="1529"/>
      <c r="E100" s="1773"/>
      <c r="F100" s="1524"/>
      <c r="G100" s="1829"/>
      <c r="H100" s="1527"/>
      <c r="I100" s="1166" t="s">
        <v>30</v>
      </c>
      <c r="J100" s="399">
        <f>0.7+2.2</f>
        <v>2.9000000000000004</v>
      </c>
      <c r="K100" s="399">
        <v>0</v>
      </c>
      <c r="L100" s="641">
        <v>0</v>
      </c>
    </row>
    <row r="101" spans="1:12" ht="21.75" customHeight="1" x14ac:dyDescent="0.25">
      <c r="A101" s="1759"/>
      <c r="B101" s="1783"/>
      <c r="C101" s="1563"/>
      <c r="D101" s="1529"/>
      <c r="E101" s="1773"/>
      <c r="F101" s="1522" t="s">
        <v>49</v>
      </c>
      <c r="G101" s="1829"/>
      <c r="H101" s="1527"/>
      <c r="I101" s="1159" t="s">
        <v>23</v>
      </c>
      <c r="J101" s="31">
        <f>81.3+7.4</f>
        <v>88.7</v>
      </c>
      <c r="K101" s="31">
        <v>81.3</v>
      </c>
      <c r="L101" s="575">
        <v>81.3</v>
      </c>
    </row>
    <row r="102" spans="1:12" ht="17.25" customHeight="1" x14ac:dyDescent="0.25">
      <c r="A102" s="1759"/>
      <c r="B102" s="1783"/>
      <c r="C102" s="1563"/>
      <c r="D102" s="1529"/>
      <c r="E102" s="1773"/>
      <c r="F102" s="1523"/>
      <c r="G102" s="1829"/>
      <c r="H102" s="1527"/>
      <c r="I102" s="1168" t="s">
        <v>54</v>
      </c>
      <c r="J102" s="454">
        <v>6.3</v>
      </c>
      <c r="K102" s="454">
        <v>6.3</v>
      </c>
      <c r="L102" s="1048">
        <v>6.3</v>
      </c>
    </row>
    <row r="103" spans="1:12" ht="19.5" customHeight="1" x14ac:dyDescent="0.25">
      <c r="A103" s="1759"/>
      <c r="B103" s="1783"/>
      <c r="C103" s="1563"/>
      <c r="D103" s="1529"/>
      <c r="E103" s="1773"/>
      <c r="F103" s="1524"/>
      <c r="G103" s="1829"/>
      <c r="H103" s="1527"/>
      <c r="I103" s="1166" t="s">
        <v>30</v>
      </c>
      <c r="J103" s="399">
        <f>1.1+3.2</f>
        <v>4.3000000000000007</v>
      </c>
      <c r="K103" s="399">
        <v>0</v>
      </c>
      <c r="L103" s="641">
        <v>0</v>
      </c>
    </row>
    <row r="104" spans="1:12" ht="21.75" customHeight="1" x14ac:dyDescent="0.25">
      <c r="A104" s="1759"/>
      <c r="B104" s="1783"/>
      <c r="C104" s="1563"/>
      <c r="D104" s="1529"/>
      <c r="E104" s="1515"/>
      <c r="F104" s="1525" t="s">
        <v>50</v>
      </c>
      <c r="G104" s="1828"/>
      <c r="H104" s="1527"/>
      <c r="I104" s="1159" t="s">
        <v>23</v>
      </c>
      <c r="J104" s="31">
        <f>18.8-5.55</f>
        <v>13.25</v>
      </c>
      <c r="K104" s="31">
        <v>18.8</v>
      </c>
      <c r="L104" s="575">
        <v>18.8</v>
      </c>
    </row>
    <row r="105" spans="1:12" ht="23.25" customHeight="1" x14ac:dyDescent="0.25">
      <c r="A105" s="1759"/>
      <c r="B105" s="1783"/>
      <c r="C105" s="1563"/>
      <c r="D105" s="1529"/>
      <c r="E105" s="1515"/>
      <c r="F105" s="1525"/>
      <c r="G105" s="1828"/>
      <c r="H105" s="1527"/>
      <c r="I105" s="1168" t="s">
        <v>54</v>
      </c>
      <c r="J105" s="399">
        <v>0</v>
      </c>
      <c r="K105" s="399">
        <v>0</v>
      </c>
      <c r="L105" s="641">
        <v>0</v>
      </c>
    </row>
    <row r="106" spans="1:12" ht="23.25" customHeight="1" thickBot="1" x14ac:dyDescent="0.3">
      <c r="A106" s="1759"/>
      <c r="B106" s="1783"/>
      <c r="C106" s="1563"/>
      <c r="D106" s="1529"/>
      <c r="E106" s="1515"/>
      <c r="F106" s="1525"/>
      <c r="G106" s="1828"/>
      <c r="H106" s="1527"/>
      <c r="I106" s="1166" t="s">
        <v>30</v>
      </c>
      <c r="J106" s="399">
        <f>0.1+1.2-1.2</f>
        <v>0.10000000000000009</v>
      </c>
      <c r="K106" s="399">
        <v>0</v>
      </c>
      <c r="L106" s="641">
        <v>0</v>
      </c>
    </row>
    <row r="107" spans="1:12" ht="24.75" customHeight="1" x14ac:dyDescent="0.25">
      <c r="A107" s="1759"/>
      <c r="B107" s="1783"/>
      <c r="C107" s="1563"/>
      <c r="D107" s="1529"/>
      <c r="E107" s="1773"/>
      <c r="F107" s="1522" t="s">
        <v>51</v>
      </c>
      <c r="G107" s="1829"/>
      <c r="H107" s="1527"/>
      <c r="I107" s="1159" t="s">
        <v>23</v>
      </c>
      <c r="J107" s="396">
        <v>57.5</v>
      </c>
      <c r="K107" s="396">
        <v>57.5</v>
      </c>
      <c r="L107" s="1369">
        <v>57.5</v>
      </c>
    </row>
    <row r="108" spans="1:12" ht="25.5" customHeight="1" x14ac:dyDescent="0.25">
      <c r="A108" s="1759"/>
      <c r="B108" s="1783"/>
      <c r="C108" s="1563"/>
      <c r="D108" s="1529"/>
      <c r="E108" s="1773"/>
      <c r="F108" s="1523"/>
      <c r="G108" s="1829"/>
      <c r="H108" s="1527"/>
      <c r="I108" s="1168" t="s">
        <v>54</v>
      </c>
      <c r="J108" s="399">
        <f>45-41+0.5</f>
        <v>4.5</v>
      </c>
      <c r="K108" s="399">
        <f t="shared" ref="K108:L108" si="9">45-41</f>
        <v>4</v>
      </c>
      <c r="L108" s="1370">
        <f t="shared" si="9"/>
        <v>4</v>
      </c>
    </row>
    <row r="109" spans="1:12" ht="24" customHeight="1" thickBot="1" x14ac:dyDescent="0.3">
      <c r="A109" s="1759"/>
      <c r="B109" s="1783"/>
      <c r="C109" s="1563"/>
      <c r="D109" s="1529"/>
      <c r="E109" s="1773"/>
      <c r="F109" s="1524"/>
      <c r="G109" s="1829"/>
      <c r="H109" s="1527"/>
      <c r="I109" s="1166" t="s">
        <v>30</v>
      </c>
      <c r="J109" s="399">
        <f>1.5+0</f>
        <v>1.5</v>
      </c>
      <c r="K109" s="399">
        <v>0</v>
      </c>
      <c r="L109" s="1371">
        <v>0</v>
      </c>
    </row>
    <row r="110" spans="1:12" ht="20.25" customHeight="1" x14ac:dyDescent="0.25">
      <c r="A110" s="1759"/>
      <c r="B110" s="1783"/>
      <c r="C110" s="1563"/>
      <c r="D110" s="1529"/>
      <c r="E110" s="1773"/>
      <c r="F110" s="1717" t="s">
        <v>52</v>
      </c>
      <c r="G110" s="1829"/>
      <c r="H110" s="1527"/>
      <c r="I110" s="1159" t="s">
        <v>23</v>
      </c>
      <c r="J110" s="31">
        <v>7.2</v>
      </c>
      <c r="K110" s="31">
        <v>7.2</v>
      </c>
      <c r="L110" s="1049">
        <v>7.2</v>
      </c>
    </row>
    <row r="111" spans="1:12" ht="21" customHeight="1" x14ac:dyDescent="0.25">
      <c r="A111" s="1759"/>
      <c r="B111" s="1783"/>
      <c r="C111" s="1563"/>
      <c r="D111" s="1529"/>
      <c r="E111" s="1773"/>
      <c r="F111" s="1719"/>
      <c r="G111" s="1829"/>
      <c r="H111" s="1527"/>
      <c r="I111" s="1166" t="s">
        <v>30</v>
      </c>
      <c r="J111" s="399">
        <v>0.2</v>
      </c>
      <c r="K111" s="399">
        <v>0</v>
      </c>
      <c r="L111" s="641">
        <v>0</v>
      </c>
    </row>
    <row r="112" spans="1:12" ht="18.75" customHeight="1" x14ac:dyDescent="0.25">
      <c r="A112" s="1759"/>
      <c r="B112" s="1783"/>
      <c r="C112" s="1563"/>
      <c r="D112" s="1529"/>
      <c r="E112" s="1773"/>
      <c r="F112" s="1717" t="s">
        <v>53</v>
      </c>
      <c r="G112" s="1829"/>
      <c r="H112" s="1527"/>
      <c r="I112" s="1159" t="s">
        <v>23</v>
      </c>
      <c r="J112" s="396">
        <f>23.2+9.8+2+12.2</f>
        <v>47.2</v>
      </c>
      <c r="K112" s="396">
        <v>23.2</v>
      </c>
      <c r="L112" s="1022">
        <v>23.2</v>
      </c>
    </row>
    <row r="113" spans="1:12" ht="18.75" customHeight="1" x14ac:dyDescent="0.25">
      <c r="A113" s="1759"/>
      <c r="B113" s="1783"/>
      <c r="C113" s="1563"/>
      <c r="D113" s="1529"/>
      <c r="E113" s="1773"/>
      <c r="F113" s="1718"/>
      <c r="G113" s="1829"/>
      <c r="H113" s="1527"/>
      <c r="I113" s="1168" t="s">
        <v>54</v>
      </c>
      <c r="J113" s="399">
        <f>111.5-91.5</f>
        <v>20</v>
      </c>
      <c r="K113" s="399">
        <v>111.5</v>
      </c>
      <c r="L113" s="641">
        <v>111.5</v>
      </c>
    </row>
    <row r="114" spans="1:12" ht="18.75" customHeight="1" x14ac:dyDescent="0.25">
      <c r="A114" s="1759"/>
      <c r="B114" s="1783"/>
      <c r="C114" s="1563"/>
      <c r="D114" s="1529"/>
      <c r="E114" s="1773"/>
      <c r="F114" s="1719"/>
      <c r="G114" s="1829"/>
      <c r="H114" s="1527"/>
      <c r="I114" s="1166" t="s">
        <v>30</v>
      </c>
      <c r="J114" s="399">
        <f>3.4+32.6</f>
        <v>36</v>
      </c>
      <c r="K114" s="399">
        <v>0</v>
      </c>
      <c r="L114" s="641">
        <v>0</v>
      </c>
    </row>
    <row r="115" spans="1:12" ht="21.75" customHeight="1" x14ac:dyDescent="0.25">
      <c r="A115" s="1759"/>
      <c r="B115" s="1783"/>
      <c r="C115" s="1563"/>
      <c r="D115" s="1529"/>
      <c r="E115" s="1515"/>
      <c r="F115" s="1720" t="s">
        <v>55</v>
      </c>
      <c r="G115" s="1828"/>
      <c r="H115" s="1527"/>
      <c r="I115" s="1159" t="s">
        <v>23</v>
      </c>
      <c r="J115" s="640">
        <f>113.2+5.5+3</f>
        <v>121.7</v>
      </c>
      <c r="K115" s="640">
        <v>113.2</v>
      </c>
      <c r="L115" s="951">
        <v>113.2</v>
      </c>
    </row>
    <row r="116" spans="1:12" ht="21.75" customHeight="1" x14ac:dyDescent="0.25">
      <c r="A116" s="1759"/>
      <c r="B116" s="1783"/>
      <c r="C116" s="1563"/>
      <c r="D116" s="1529"/>
      <c r="E116" s="1515"/>
      <c r="F116" s="1720"/>
      <c r="G116" s="1828"/>
      <c r="H116" s="1527"/>
      <c r="I116" s="1452" t="s">
        <v>54</v>
      </c>
      <c r="J116" s="1453">
        <f>95-5</f>
        <v>90</v>
      </c>
      <c r="K116" s="1453">
        <v>135</v>
      </c>
      <c r="L116" s="1454">
        <v>135</v>
      </c>
    </row>
    <row r="117" spans="1:12" ht="21.75" customHeight="1" x14ac:dyDescent="0.25">
      <c r="A117" s="1759"/>
      <c r="B117" s="1783"/>
      <c r="C117" s="1563"/>
      <c r="D117" s="1529"/>
      <c r="E117" s="1515"/>
      <c r="F117" s="1720"/>
      <c r="G117" s="1828"/>
      <c r="H117" s="1527"/>
      <c r="I117" s="1166" t="s">
        <v>30</v>
      </c>
      <c r="J117" s="766">
        <f>11.4+1.5</f>
        <v>12.9</v>
      </c>
      <c r="K117" s="766">
        <v>0</v>
      </c>
      <c r="L117" s="954">
        <v>0</v>
      </c>
    </row>
    <row r="118" spans="1:12" ht="18.75" customHeight="1" x14ac:dyDescent="0.25">
      <c r="A118" s="1759"/>
      <c r="B118" s="1783"/>
      <c r="C118" s="1563"/>
      <c r="D118" s="1529"/>
      <c r="E118" s="1773"/>
      <c r="F118" s="1522" t="s">
        <v>71</v>
      </c>
      <c r="G118" s="1829"/>
      <c r="H118" s="1527"/>
      <c r="I118" s="1159" t="s">
        <v>23</v>
      </c>
      <c r="J118" s="31">
        <f>101.3+14.9+14.5-14.5</f>
        <v>116.19999999999999</v>
      </c>
      <c r="K118" s="31">
        <v>101.3</v>
      </c>
      <c r="L118" s="575">
        <v>101.3</v>
      </c>
    </row>
    <row r="119" spans="1:12" ht="18.75" customHeight="1" x14ac:dyDescent="0.25">
      <c r="A119" s="1759"/>
      <c r="B119" s="1783"/>
      <c r="C119" s="1563"/>
      <c r="D119" s="1529"/>
      <c r="E119" s="1773"/>
      <c r="F119" s="1523"/>
      <c r="G119" s="1829"/>
      <c r="H119" s="1527"/>
      <c r="I119" s="1168" t="s">
        <v>54</v>
      </c>
      <c r="J119" s="454">
        <v>2</v>
      </c>
      <c r="K119" s="454">
        <v>2</v>
      </c>
      <c r="L119" s="1048">
        <v>2</v>
      </c>
    </row>
    <row r="120" spans="1:12" ht="18.75" customHeight="1" x14ac:dyDescent="0.25">
      <c r="A120" s="1759"/>
      <c r="B120" s="1783"/>
      <c r="C120" s="1563"/>
      <c r="D120" s="1529"/>
      <c r="E120" s="1773"/>
      <c r="F120" s="1524"/>
      <c r="G120" s="1829"/>
      <c r="H120" s="1527"/>
      <c r="I120" s="1166" t="s">
        <v>30</v>
      </c>
      <c r="J120" s="399">
        <f>2.7+2.8</f>
        <v>5.5</v>
      </c>
      <c r="K120" s="399">
        <v>0</v>
      </c>
      <c r="L120" s="641">
        <v>0</v>
      </c>
    </row>
    <row r="121" spans="1:12" ht="22.5" customHeight="1" x14ac:dyDescent="0.25">
      <c r="A121" s="1759"/>
      <c r="B121" s="1783"/>
      <c r="C121" s="1563"/>
      <c r="D121" s="1529"/>
      <c r="E121" s="1773"/>
      <c r="F121" s="1522" t="s">
        <v>57</v>
      </c>
      <c r="G121" s="1829"/>
      <c r="H121" s="1527"/>
      <c r="I121" s="1159" t="s">
        <v>23</v>
      </c>
      <c r="J121" s="31">
        <f>26.3</f>
        <v>26.3</v>
      </c>
      <c r="K121" s="31">
        <v>26.3</v>
      </c>
      <c r="L121" s="575">
        <v>26.3</v>
      </c>
    </row>
    <row r="122" spans="1:12" ht="22.5" customHeight="1" x14ac:dyDescent="0.25">
      <c r="A122" s="1759"/>
      <c r="B122" s="1783"/>
      <c r="C122" s="1563"/>
      <c r="D122" s="1529"/>
      <c r="E122" s="1773"/>
      <c r="F122" s="1524"/>
      <c r="G122" s="1829"/>
      <c r="H122" s="1527"/>
      <c r="I122" s="1166" t="s">
        <v>30</v>
      </c>
      <c r="J122" s="399">
        <v>1.2</v>
      </c>
      <c r="K122" s="399">
        <v>0</v>
      </c>
      <c r="L122" s="641">
        <v>0</v>
      </c>
    </row>
    <row r="123" spans="1:12" ht="20.25" customHeight="1" x14ac:dyDescent="0.25">
      <c r="A123" s="1759"/>
      <c r="B123" s="1783"/>
      <c r="C123" s="1563"/>
      <c r="D123" s="1529"/>
      <c r="E123" s="1773"/>
      <c r="F123" s="1522" t="s">
        <v>58</v>
      </c>
      <c r="G123" s="1829"/>
      <c r="H123" s="1527"/>
      <c r="I123" s="1159" t="s">
        <v>23</v>
      </c>
      <c r="J123" s="31">
        <f>112.1+5.6+75+9.3</f>
        <v>202</v>
      </c>
      <c r="K123" s="31">
        <v>112.1</v>
      </c>
      <c r="L123" s="575">
        <v>112.1</v>
      </c>
    </row>
    <row r="124" spans="1:12" ht="20.25" customHeight="1" x14ac:dyDescent="0.25">
      <c r="A124" s="1759"/>
      <c r="B124" s="1783"/>
      <c r="C124" s="1563"/>
      <c r="D124" s="1529"/>
      <c r="E124" s="1773"/>
      <c r="F124" s="1523"/>
      <c r="G124" s="1829"/>
      <c r="H124" s="1527"/>
      <c r="I124" s="1168" t="s">
        <v>54</v>
      </c>
      <c r="J124" s="454">
        <f>22.5+25</f>
        <v>47.5</v>
      </c>
      <c r="K124" s="454">
        <v>22.5</v>
      </c>
      <c r="L124" s="1048">
        <v>22.5</v>
      </c>
    </row>
    <row r="125" spans="1:12" ht="20.25" customHeight="1" x14ac:dyDescent="0.25">
      <c r="A125" s="1759"/>
      <c r="B125" s="1783"/>
      <c r="C125" s="1563"/>
      <c r="D125" s="1529"/>
      <c r="E125" s="1773"/>
      <c r="F125" s="1524"/>
      <c r="G125" s="1829"/>
      <c r="H125" s="1527"/>
      <c r="I125" s="1166" t="s">
        <v>30</v>
      </c>
      <c r="J125" s="399">
        <f>2.7+7.6</f>
        <v>10.3</v>
      </c>
      <c r="K125" s="399">
        <v>0</v>
      </c>
      <c r="L125" s="641">
        <v>0</v>
      </c>
    </row>
    <row r="126" spans="1:12" ht="20.25" customHeight="1" x14ac:dyDescent="0.25">
      <c r="A126" s="1759"/>
      <c r="B126" s="1783"/>
      <c r="C126" s="1563"/>
      <c r="D126" s="1529"/>
      <c r="E126" s="1773"/>
      <c r="F126" s="1522" t="s">
        <v>59</v>
      </c>
      <c r="G126" s="1829"/>
      <c r="H126" s="1527"/>
      <c r="I126" s="1159" t="s">
        <v>23</v>
      </c>
      <c r="J126" s="31">
        <v>29.6</v>
      </c>
      <c r="K126" s="31">
        <v>29.6</v>
      </c>
      <c r="L126" s="575">
        <v>29.6</v>
      </c>
    </row>
    <row r="127" spans="1:12" ht="20.25" customHeight="1" x14ac:dyDescent="0.25">
      <c r="A127" s="1759"/>
      <c r="B127" s="1783"/>
      <c r="C127" s="1563"/>
      <c r="D127" s="1529"/>
      <c r="E127" s="1773"/>
      <c r="F127" s="1523"/>
      <c r="G127" s="1829"/>
      <c r="H127" s="1527"/>
      <c r="I127" s="1168" t="s">
        <v>54</v>
      </c>
      <c r="J127" s="454">
        <f>0.6+0.2</f>
        <v>0.8</v>
      </c>
      <c r="K127" s="454">
        <v>0.6</v>
      </c>
      <c r="L127" s="1048">
        <v>0.6</v>
      </c>
    </row>
    <row r="128" spans="1:12" ht="20.25" customHeight="1" x14ac:dyDescent="0.25">
      <c r="A128" s="1759"/>
      <c r="B128" s="1783"/>
      <c r="C128" s="1563"/>
      <c r="D128" s="1529"/>
      <c r="E128" s="1773"/>
      <c r="F128" s="1524"/>
      <c r="G128" s="1829"/>
      <c r="H128" s="1527"/>
      <c r="I128" s="1166" t="s">
        <v>30</v>
      </c>
      <c r="J128" s="399">
        <f>0.1+0.4</f>
        <v>0.5</v>
      </c>
      <c r="K128" s="399">
        <v>0</v>
      </c>
      <c r="L128" s="641">
        <v>0</v>
      </c>
    </row>
    <row r="129" spans="1:12" ht="19.5" customHeight="1" x14ac:dyDescent="0.25">
      <c r="A129" s="1759"/>
      <c r="B129" s="1783"/>
      <c r="C129" s="1563"/>
      <c r="D129" s="1529"/>
      <c r="E129" s="1773"/>
      <c r="F129" s="1522" t="s">
        <v>60</v>
      </c>
      <c r="G129" s="1829"/>
      <c r="H129" s="1527"/>
      <c r="I129" s="1159" t="s">
        <v>23</v>
      </c>
      <c r="J129" s="31">
        <v>17</v>
      </c>
      <c r="K129" s="31">
        <v>17</v>
      </c>
      <c r="L129" s="575">
        <v>17</v>
      </c>
    </row>
    <row r="130" spans="1:12" ht="19.5" customHeight="1" x14ac:dyDescent="0.25">
      <c r="A130" s="1759"/>
      <c r="B130" s="1783"/>
      <c r="C130" s="1563"/>
      <c r="D130" s="1529"/>
      <c r="E130" s="1773"/>
      <c r="F130" s="1523"/>
      <c r="G130" s="1829"/>
      <c r="H130" s="1527"/>
      <c r="I130" s="1168" t="s">
        <v>54</v>
      </c>
      <c r="J130" s="454">
        <f>5+1</f>
        <v>6</v>
      </c>
      <c r="K130" s="454">
        <v>5</v>
      </c>
      <c r="L130" s="1048">
        <v>5</v>
      </c>
    </row>
    <row r="131" spans="1:12" ht="19.5" customHeight="1" x14ac:dyDescent="0.25">
      <c r="A131" s="1759"/>
      <c r="B131" s="1783"/>
      <c r="C131" s="1563"/>
      <c r="D131" s="1529"/>
      <c r="E131" s="1773"/>
      <c r="F131" s="1524"/>
      <c r="G131" s="1829"/>
      <c r="H131" s="1527"/>
      <c r="I131" s="1166" t="s">
        <v>30</v>
      </c>
      <c r="J131" s="399">
        <f>0.4+0.7</f>
        <v>1.1000000000000001</v>
      </c>
      <c r="K131" s="399">
        <v>0</v>
      </c>
      <c r="L131" s="641">
        <v>0</v>
      </c>
    </row>
    <row r="132" spans="1:12" ht="19.5" customHeight="1" x14ac:dyDescent="0.25">
      <c r="A132" s="1759"/>
      <c r="B132" s="1783"/>
      <c r="C132" s="1563"/>
      <c r="D132" s="1529"/>
      <c r="E132" s="1773"/>
      <c r="F132" s="1522" t="s">
        <v>61</v>
      </c>
      <c r="G132" s="1829"/>
      <c r="H132" s="1527"/>
      <c r="I132" s="1159" t="s">
        <v>23</v>
      </c>
      <c r="J132" s="31">
        <f>67.8+23+1.6+6</f>
        <v>98.399999999999991</v>
      </c>
      <c r="K132" s="31">
        <v>67.8</v>
      </c>
      <c r="L132" s="575">
        <v>67.8</v>
      </c>
    </row>
    <row r="133" spans="1:12" ht="19.5" customHeight="1" x14ac:dyDescent="0.25">
      <c r="A133" s="1759"/>
      <c r="B133" s="1783"/>
      <c r="C133" s="1563"/>
      <c r="D133" s="1529"/>
      <c r="E133" s="1773"/>
      <c r="F133" s="1523"/>
      <c r="G133" s="1829"/>
      <c r="H133" s="1527"/>
      <c r="I133" s="1168" t="s">
        <v>54</v>
      </c>
      <c r="J133" s="454">
        <f>2.2+0.8+1</f>
        <v>4</v>
      </c>
      <c r="K133" s="454">
        <v>2.2000000000000002</v>
      </c>
      <c r="L133" s="1048">
        <v>2.2000000000000002</v>
      </c>
    </row>
    <row r="134" spans="1:12" ht="19.5" customHeight="1" x14ac:dyDescent="0.25">
      <c r="A134" s="1759"/>
      <c r="B134" s="1783"/>
      <c r="C134" s="1563"/>
      <c r="D134" s="1529"/>
      <c r="E134" s="1773"/>
      <c r="F134" s="1524"/>
      <c r="G134" s="1829"/>
      <c r="H134" s="1527"/>
      <c r="I134" s="1166" t="s">
        <v>30</v>
      </c>
      <c r="J134" s="399">
        <f>7.4+1.9</f>
        <v>9.3000000000000007</v>
      </c>
      <c r="K134" s="399">
        <v>0</v>
      </c>
      <c r="L134" s="641">
        <v>0</v>
      </c>
    </row>
    <row r="135" spans="1:12" ht="21.75" customHeight="1" x14ac:dyDescent="0.25">
      <c r="A135" s="1759"/>
      <c r="B135" s="1783"/>
      <c r="C135" s="1563"/>
      <c r="D135" s="1529"/>
      <c r="E135" s="1773"/>
      <c r="F135" s="1522" t="s">
        <v>62</v>
      </c>
      <c r="G135" s="1829"/>
      <c r="H135" s="1527"/>
      <c r="I135" s="1159" t="s">
        <v>23</v>
      </c>
      <c r="J135" s="31">
        <f>35.7-10</f>
        <v>25.700000000000003</v>
      </c>
      <c r="K135" s="31">
        <v>35.700000000000003</v>
      </c>
      <c r="L135" s="575">
        <v>35.700000000000003</v>
      </c>
    </row>
    <row r="136" spans="1:12" ht="21.75" customHeight="1" x14ac:dyDescent="0.25">
      <c r="A136" s="1759"/>
      <c r="B136" s="1783"/>
      <c r="C136" s="1563"/>
      <c r="D136" s="1529"/>
      <c r="E136" s="1773"/>
      <c r="F136" s="1523"/>
      <c r="G136" s="1829"/>
      <c r="H136" s="1527"/>
      <c r="I136" s="1168" t="s">
        <v>54</v>
      </c>
      <c r="J136" s="454">
        <v>25</v>
      </c>
      <c r="K136" s="454">
        <v>25</v>
      </c>
      <c r="L136" s="1048">
        <v>25</v>
      </c>
    </row>
    <row r="137" spans="1:12" ht="21.75" customHeight="1" x14ac:dyDescent="0.25">
      <c r="A137" s="1759"/>
      <c r="B137" s="1783"/>
      <c r="C137" s="1563"/>
      <c r="D137" s="1529"/>
      <c r="E137" s="1773"/>
      <c r="F137" s="1524"/>
      <c r="G137" s="1829"/>
      <c r="H137" s="1527"/>
      <c r="I137" s="1166" t="s">
        <v>30</v>
      </c>
      <c r="J137" s="399">
        <f>0.7+0.7</f>
        <v>1.4</v>
      </c>
      <c r="K137" s="399">
        <v>0</v>
      </c>
      <c r="L137" s="641">
        <v>0</v>
      </c>
    </row>
    <row r="138" spans="1:12" ht="20.25" customHeight="1" x14ac:dyDescent="0.25">
      <c r="A138" s="1759"/>
      <c r="B138" s="1783"/>
      <c r="C138" s="1563"/>
      <c r="D138" s="1529"/>
      <c r="E138" s="1515"/>
      <c r="F138" s="1525" t="s">
        <v>63</v>
      </c>
      <c r="G138" s="1828"/>
      <c r="H138" s="1527"/>
      <c r="I138" s="1159" t="s">
        <v>23</v>
      </c>
      <c r="J138" s="31">
        <f>22.7+0.5</f>
        <v>23.2</v>
      </c>
      <c r="K138" s="31">
        <v>22.7</v>
      </c>
      <c r="L138" s="575">
        <v>22.7</v>
      </c>
    </row>
    <row r="139" spans="1:12" ht="20.25" customHeight="1" x14ac:dyDescent="0.25">
      <c r="A139" s="1759"/>
      <c r="B139" s="1783"/>
      <c r="C139" s="1563"/>
      <c r="D139" s="1529"/>
      <c r="E139" s="1515"/>
      <c r="F139" s="1525"/>
      <c r="G139" s="1828"/>
      <c r="H139" s="1527"/>
      <c r="I139" s="1168" t="s">
        <v>54</v>
      </c>
      <c r="J139" s="454">
        <f>0.5+0.3</f>
        <v>0.8</v>
      </c>
      <c r="K139" s="454">
        <v>0.5</v>
      </c>
      <c r="L139" s="1048">
        <v>0.5</v>
      </c>
    </row>
    <row r="140" spans="1:12" ht="20.25" customHeight="1" x14ac:dyDescent="0.25">
      <c r="A140" s="1759"/>
      <c r="B140" s="1783"/>
      <c r="C140" s="1563"/>
      <c r="D140" s="1529"/>
      <c r="E140" s="1515"/>
      <c r="F140" s="1533"/>
      <c r="G140" s="1828"/>
      <c r="H140" s="1527"/>
      <c r="I140" s="1166" t="s">
        <v>30</v>
      </c>
      <c r="J140" s="399">
        <f>0.2+0.8</f>
        <v>1</v>
      </c>
      <c r="K140" s="399">
        <v>0</v>
      </c>
      <c r="L140" s="641">
        <v>0</v>
      </c>
    </row>
    <row r="141" spans="1:12" ht="23.25" customHeight="1" x14ac:dyDescent="0.25">
      <c r="A141" s="1759"/>
      <c r="B141" s="1783"/>
      <c r="C141" s="1563"/>
      <c r="D141" s="1529"/>
      <c r="E141" s="1515"/>
      <c r="F141" s="1532" t="s">
        <v>64</v>
      </c>
      <c r="G141" s="1828"/>
      <c r="H141" s="1527"/>
      <c r="I141" s="1159" t="s">
        <v>23</v>
      </c>
      <c r="J141" s="31">
        <v>218</v>
      </c>
      <c r="K141" s="31">
        <v>218</v>
      </c>
      <c r="L141" s="575">
        <v>218</v>
      </c>
    </row>
    <row r="142" spans="1:12" ht="23.25" customHeight="1" x14ac:dyDescent="0.25">
      <c r="A142" s="1759"/>
      <c r="B142" s="1783"/>
      <c r="C142" s="1563"/>
      <c r="D142" s="1529"/>
      <c r="E142" s="1515"/>
      <c r="F142" s="1533"/>
      <c r="G142" s="1828"/>
      <c r="H142" s="1527"/>
      <c r="I142" s="1166" t="s">
        <v>30</v>
      </c>
      <c r="J142" s="399">
        <v>3.4</v>
      </c>
      <c r="K142" s="399">
        <v>0</v>
      </c>
      <c r="L142" s="641">
        <v>0</v>
      </c>
    </row>
    <row r="143" spans="1:12" ht="17.25" customHeight="1" x14ac:dyDescent="0.25">
      <c r="A143" s="1759"/>
      <c r="B143" s="1783"/>
      <c r="C143" s="1563"/>
      <c r="D143" s="1529"/>
      <c r="E143" s="1515"/>
      <c r="F143" s="1776" t="s">
        <v>65</v>
      </c>
      <c r="G143" s="1828"/>
      <c r="H143" s="1527"/>
      <c r="I143" s="1167" t="s">
        <v>23</v>
      </c>
      <c r="J143" s="396">
        <f>54.1-25</f>
        <v>29.1</v>
      </c>
      <c r="K143" s="396">
        <v>54.1</v>
      </c>
      <c r="L143" s="1022">
        <v>54.1</v>
      </c>
    </row>
    <row r="144" spans="1:12" ht="17.25" customHeight="1" x14ac:dyDescent="0.25">
      <c r="A144" s="1760"/>
      <c r="B144" s="1784"/>
      <c r="C144" s="1564"/>
      <c r="D144" s="1529"/>
      <c r="E144" s="1515"/>
      <c r="F144" s="1720"/>
      <c r="G144" s="1828"/>
      <c r="H144" s="1527"/>
      <c r="I144" s="1161" t="s">
        <v>30</v>
      </c>
      <c r="J144" s="399">
        <v>0.2</v>
      </c>
      <c r="K144" s="402">
        <v>0</v>
      </c>
      <c r="L144" s="641">
        <v>0</v>
      </c>
    </row>
    <row r="145" spans="1:12" ht="18" customHeight="1" x14ac:dyDescent="0.25">
      <c r="A145" s="1767"/>
      <c r="B145" s="1785"/>
      <c r="C145" s="1565"/>
      <c r="D145" s="1566"/>
      <c r="E145" s="1774"/>
      <c r="F145" s="1777"/>
      <c r="G145" s="1828"/>
      <c r="H145" s="1528"/>
      <c r="I145" s="532" t="s">
        <v>24</v>
      </c>
      <c r="J145" s="1165">
        <f>SUM(J60:J144)</f>
        <v>4181.8499999999995</v>
      </c>
      <c r="K145" s="1171">
        <f t="shared" ref="K145:L145" si="10">SUM(K60:K144)</f>
        <v>3433.4999999999995</v>
      </c>
      <c r="L145" s="1165">
        <f t="shared" si="10"/>
        <v>3433.4999999999995</v>
      </c>
    </row>
    <row r="146" spans="1:12" ht="15.75" customHeight="1" x14ac:dyDescent="0.25">
      <c r="A146" s="42" t="s">
        <v>15</v>
      </c>
      <c r="B146" s="43" t="s">
        <v>15</v>
      </c>
      <c r="C146" s="1571" t="s">
        <v>72</v>
      </c>
      <c r="D146" s="1765" t="s">
        <v>73</v>
      </c>
      <c r="E146" s="1625" t="s">
        <v>19</v>
      </c>
      <c r="F146" s="1573" t="s">
        <v>20</v>
      </c>
      <c r="G146" s="1732" t="s">
        <v>29</v>
      </c>
      <c r="H146" s="1761" t="s">
        <v>22</v>
      </c>
      <c r="I146" s="538" t="s">
        <v>23</v>
      </c>
      <c r="J146" s="44">
        <f>1047.9-62.9</f>
        <v>985.00000000000011</v>
      </c>
      <c r="K146" s="44">
        <v>913.5</v>
      </c>
      <c r="L146" s="45">
        <v>754.9</v>
      </c>
    </row>
    <row r="147" spans="1:12" ht="22.5" customHeight="1" x14ac:dyDescent="0.25">
      <c r="A147" s="46"/>
      <c r="B147" s="47"/>
      <c r="C147" s="1572"/>
      <c r="D147" s="1558"/>
      <c r="E147" s="1578"/>
      <c r="F147" s="1574"/>
      <c r="G147" s="1734"/>
      <c r="H147" s="1762"/>
      <c r="I147" s="540" t="s">
        <v>24</v>
      </c>
      <c r="J147" s="212">
        <f>SUM(J146)</f>
        <v>985.00000000000011</v>
      </c>
      <c r="K147" s="212">
        <f t="shared" ref="K147:L147" si="11">SUM(K146)</f>
        <v>913.5</v>
      </c>
      <c r="L147" s="213">
        <f t="shared" si="11"/>
        <v>754.9</v>
      </c>
    </row>
    <row r="148" spans="1:12" ht="21" customHeight="1" x14ac:dyDescent="0.25">
      <c r="A148" s="48" t="s">
        <v>15</v>
      </c>
      <c r="B148" s="49" t="s">
        <v>15</v>
      </c>
      <c r="C148" s="1581" t="s">
        <v>74</v>
      </c>
      <c r="D148" s="1558" t="s">
        <v>75</v>
      </c>
      <c r="E148" s="1577" t="s">
        <v>19</v>
      </c>
      <c r="F148" s="1583" t="s">
        <v>20</v>
      </c>
      <c r="G148" s="1582" t="s">
        <v>76</v>
      </c>
      <c r="H148" s="1559" t="s">
        <v>77</v>
      </c>
      <c r="I148" s="542" t="s">
        <v>23</v>
      </c>
      <c r="J148" s="235">
        <v>0</v>
      </c>
      <c r="K148" s="778">
        <v>0</v>
      </c>
      <c r="L148" s="778">
        <v>0</v>
      </c>
    </row>
    <row r="149" spans="1:12" ht="21" customHeight="1" x14ac:dyDescent="0.25">
      <c r="A149" s="46"/>
      <c r="B149" s="47"/>
      <c r="C149" s="1572"/>
      <c r="D149" s="1558"/>
      <c r="E149" s="1578"/>
      <c r="F149" s="1580"/>
      <c r="G149" s="1580"/>
      <c r="H149" s="1560"/>
      <c r="I149" s="939" t="s">
        <v>24</v>
      </c>
      <c r="J149" s="489">
        <f>J148</f>
        <v>0</v>
      </c>
      <c r="K149" s="489">
        <f t="shared" ref="K149:L149" si="12">K148</f>
        <v>0</v>
      </c>
      <c r="L149" s="929">
        <f t="shared" si="12"/>
        <v>0</v>
      </c>
    </row>
    <row r="150" spans="1:12" ht="19.5" customHeight="1" x14ac:dyDescent="0.25">
      <c r="A150" s="48" t="s">
        <v>15</v>
      </c>
      <c r="B150" s="49" t="s">
        <v>15</v>
      </c>
      <c r="C150" s="1601" t="s">
        <v>78</v>
      </c>
      <c r="D150" s="1716" t="s">
        <v>79</v>
      </c>
      <c r="E150" s="1577" t="s">
        <v>19</v>
      </c>
      <c r="F150" s="1583" t="s">
        <v>20</v>
      </c>
      <c r="G150" s="1582" t="s">
        <v>29</v>
      </c>
      <c r="H150" s="1836" t="s">
        <v>22</v>
      </c>
      <c r="I150" s="1174" t="s">
        <v>23</v>
      </c>
      <c r="J150" s="1176">
        <v>0</v>
      </c>
      <c r="K150" s="1172">
        <v>0</v>
      </c>
      <c r="L150" s="1178">
        <v>0</v>
      </c>
    </row>
    <row r="151" spans="1:12" ht="19.5" customHeight="1" x14ac:dyDescent="0.25">
      <c r="A151" s="42"/>
      <c r="B151" s="43"/>
      <c r="C151" s="1602"/>
      <c r="D151" s="1517"/>
      <c r="E151" s="1625"/>
      <c r="F151" s="1582"/>
      <c r="G151" s="1582"/>
      <c r="H151" s="1837"/>
      <c r="I151" s="1175" t="s">
        <v>30</v>
      </c>
      <c r="J151" s="1177">
        <v>0.2</v>
      </c>
      <c r="K151" s="1173">
        <v>0</v>
      </c>
      <c r="L151" s="1179">
        <v>0</v>
      </c>
    </row>
    <row r="152" spans="1:12" ht="15" customHeight="1" x14ac:dyDescent="0.25">
      <c r="A152" s="46"/>
      <c r="B152" s="47"/>
      <c r="C152" s="1715"/>
      <c r="D152" s="1558"/>
      <c r="E152" s="1578"/>
      <c r="F152" s="1580"/>
      <c r="G152" s="1580"/>
      <c r="H152" s="1663"/>
      <c r="I152" s="537" t="s">
        <v>24</v>
      </c>
      <c r="J152" s="544">
        <f>SUM(J150:J151)</f>
        <v>0.2</v>
      </c>
      <c r="K152" s="544">
        <f>SUM(K150:K150)</f>
        <v>0</v>
      </c>
      <c r="L152" s="290">
        <f>SUM(L150:L150)</f>
        <v>0</v>
      </c>
    </row>
    <row r="153" spans="1:12" ht="12" x14ac:dyDescent="0.25">
      <c r="A153" s="50" t="s">
        <v>15</v>
      </c>
      <c r="B153" s="28" t="s">
        <v>15</v>
      </c>
      <c r="C153" s="1552" t="s">
        <v>80</v>
      </c>
      <c r="D153" s="1553"/>
      <c r="E153" s="1554"/>
      <c r="F153" s="1554"/>
      <c r="G153" s="1554"/>
      <c r="H153" s="1554"/>
      <c r="I153" s="1555"/>
      <c r="J153" s="51">
        <f>J17+J19+J22+J24+J59+J145+J147+J149+J152</f>
        <v>19166.11</v>
      </c>
      <c r="K153" s="51">
        <f>K17+K19+K22+K24+K59+K145+K147+K149+K152</f>
        <v>18036.5</v>
      </c>
      <c r="L153" s="52">
        <f>L17+L19+L22+L24+L59+L145+L147+L149+L152</f>
        <v>17878.900000000001</v>
      </c>
    </row>
    <row r="154" spans="1:12" ht="15.75" customHeight="1" x14ac:dyDescent="0.25">
      <c r="A154" s="53" t="s">
        <v>15</v>
      </c>
      <c r="B154" s="54" t="s">
        <v>25</v>
      </c>
      <c r="C154" s="55" t="s">
        <v>81</v>
      </c>
      <c r="D154" s="56"/>
      <c r="E154" s="56"/>
      <c r="F154" s="56"/>
      <c r="G154" s="56"/>
      <c r="H154" s="56"/>
      <c r="I154" s="56"/>
      <c r="J154" s="57"/>
      <c r="K154" s="58"/>
      <c r="L154" s="59"/>
    </row>
    <row r="155" spans="1:12" ht="31.5" customHeight="1" x14ac:dyDescent="0.25">
      <c r="A155" s="1691" t="s">
        <v>15</v>
      </c>
      <c r="B155" s="1792" t="s">
        <v>25</v>
      </c>
      <c r="C155" s="1794" t="s">
        <v>15</v>
      </c>
      <c r="D155" s="1569" t="s">
        <v>82</v>
      </c>
      <c r="E155" s="1841" t="s">
        <v>19</v>
      </c>
      <c r="F155" s="1579" t="s">
        <v>20</v>
      </c>
      <c r="G155" s="1567" t="s">
        <v>29</v>
      </c>
      <c r="H155" s="1556" t="s">
        <v>22</v>
      </c>
      <c r="I155" s="547" t="s">
        <v>23</v>
      </c>
      <c r="J155" s="861">
        <v>0</v>
      </c>
      <c r="K155" s="861">
        <v>0</v>
      </c>
      <c r="L155" s="862">
        <v>0</v>
      </c>
    </row>
    <row r="156" spans="1:12" ht="25.5" customHeight="1" x14ac:dyDescent="0.25">
      <c r="A156" s="1691"/>
      <c r="B156" s="1793"/>
      <c r="C156" s="1795"/>
      <c r="D156" s="1570"/>
      <c r="E156" s="1842"/>
      <c r="F156" s="1580"/>
      <c r="G156" s="1568"/>
      <c r="H156" s="1557"/>
      <c r="I156" s="548" t="s">
        <v>24</v>
      </c>
      <c r="J156" s="2">
        <f>SUM(J155:J155)</f>
        <v>0</v>
      </c>
      <c r="K156" s="2">
        <f>SUM(K155:K155)</f>
        <v>0</v>
      </c>
      <c r="L156" s="4">
        <f>SUM(L155:L155)</f>
        <v>0</v>
      </c>
    </row>
    <row r="157" spans="1:12" ht="12" x14ac:dyDescent="0.25">
      <c r="A157" s="53" t="s">
        <v>15</v>
      </c>
      <c r="B157" s="61" t="s">
        <v>25</v>
      </c>
      <c r="C157" s="1806" t="s">
        <v>80</v>
      </c>
      <c r="D157" s="1807"/>
      <c r="E157" s="1807"/>
      <c r="F157" s="1807"/>
      <c r="G157" s="1807"/>
      <c r="H157" s="1808"/>
      <c r="I157" s="1809"/>
      <c r="J157" s="3">
        <f>J156</f>
        <v>0</v>
      </c>
      <c r="K157" s="3">
        <f t="shared" ref="K157:L157" si="13">K156</f>
        <v>0</v>
      </c>
      <c r="L157" s="5">
        <f t="shared" si="13"/>
        <v>0</v>
      </c>
    </row>
    <row r="158" spans="1:12" ht="12" x14ac:dyDescent="0.25">
      <c r="A158" s="62" t="s">
        <v>15</v>
      </c>
      <c r="B158" s="63"/>
      <c r="C158" s="64"/>
      <c r="D158" s="64"/>
      <c r="E158" s="64"/>
      <c r="F158" s="64"/>
      <c r="G158" s="64"/>
      <c r="H158" s="64"/>
      <c r="I158" s="65" t="s">
        <v>83</v>
      </c>
      <c r="J158" s="66">
        <f>J153+J157</f>
        <v>19166.11</v>
      </c>
      <c r="K158" s="66">
        <f>K153+K157</f>
        <v>18036.5</v>
      </c>
      <c r="L158" s="66">
        <f>L153+L157</f>
        <v>17878.900000000001</v>
      </c>
    </row>
    <row r="159" spans="1:12" ht="12" x14ac:dyDescent="0.25">
      <c r="A159" s="67" t="s">
        <v>25</v>
      </c>
      <c r="B159" s="68" t="s">
        <v>84</v>
      </c>
      <c r="C159" s="69"/>
      <c r="D159" s="69"/>
      <c r="E159" s="69"/>
      <c r="F159" s="69"/>
      <c r="G159" s="69"/>
      <c r="H159" s="69"/>
      <c r="I159" s="69"/>
      <c r="J159" s="70"/>
      <c r="K159" s="69"/>
      <c r="L159" s="71"/>
    </row>
    <row r="160" spans="1:12" ht="15" customHeight="1" x14ac:dyDescent="0.25">
      <c r="A160" s="60" t="s">
        <v>25</v>
      </c>
      <c r="B160" s="72" t="s">
        <v>15</v>
      </c>
      <c r="C160" s="1838" t="s">
        <v>85</v>
      </c>
      <c r="D160" s="1839"/>
      <c r="E160" s="1839"/>
      <c r="F160" s="1839"/>
      <c r="G160" s="1839"/>
      <c r="H160" s="1839"/>
      <c r="I160" s="1839"/>
      <c r="J160" s="1839"/>
      <c r="K160" s="1839"/>
      <c r="L160" s="1840"/>
    </row>
    <row r="161" spans="1:12" ht="24" customHeight="1" x14ac:dyDescent="0.25">
      <c r="A161" s="1812" t="s">
        <v>25</v>
      </c>
      <c r="B161" s="1821" t="s">
        <v>15</v>
      </c>
      <c r="C161" s="1814" t="s">
        <v>15</v>
      </c>
      <c r="D161" s="1800" t="s">
        <v>86</v>
      </c>
      <c r="E161" s="1541" t="s">
        <v>19</v>
      </c>
      <c r="F161" s="1472" t="s">
        <v>20</v>
      </c>
      <c r="G161" s="1810" t="s">
        <v>76</v>
      </c>
      <c r="H161" s="1819" t="s">
        <v>22</v>
      </c>
      <c r="I161" s="549" t="s">
        <v>87</v>
      </c>
      <c r="J161" s="863">
        <v>0.5</v>
      </c>
      <c r="K161" s="863">
        <v>0.5</v>
      </c>
      <c r="L161" s="864">
        <v>0.5</v>
      </c>
    </row>
    <row r="162" spans="1:12" ht="26.25" customHeight="1" x14ac:dyDescent="0.25">
      <c r="A162" s="1813"/>
      <c r="B162" s="1822"/>
      <c r="C162" s="1815"/>
      <c r="D162" s="1801"/>
      <c r="E162" s="1542"/>
      <c r="F162" s="1473"/>
      <c r="G162" s="1811"/>
      <c r="H162" s="1820"/>
      <c r="I162" s="550" t="s">
        <v>24</v>
      </c>
      <c r="J162" s="2">
        <f>SUM(J161:J161)</f>
        <v>0.5</v>
      </c>
      <c r="K162" s="2">
        <f>SUM(K161:K161)</f>
        <v>0.5</v>
      </c>
      <c r="L162" s="4">
        <f>SUM(L161:L161)</f>
        <v>0.5</v>
      </c>
    </row>
    <row r="163" spans="1:12" ht="23.25" customHeight="1" x14ac:dyDescent="0.25">
      <c r="A163" s="1797" t="s">
        <v>25</v>
      </c>
      <c r="B163" s="1688" t="s">
        <v>15</v>
      </c>
      <c r="C163" s="1798" t="s">
        <v>25</v>
      </c>
      <c r="D163" s="1796" t="s">
        <v>88</v>
      </c>
      <c r="E163" s="1710" t="s">
        <v>19</v>
      </c>
      <c r="F163" s="1816" t="s">
        <v>20</v>
      </c>
      <c r="G163" s="1810" t="s">
        <v>76</v>
      </c>
      <c r="H163" s="1664" t="s">
        <v>22</v>
      </c>
      <c r="I163" s="549" t="s">
        <v>87</v>
      </c>
      <c r="J163" s="863">
        <v>28.1</v>
      </c>
      <c r="K163" s="863">
        <v>28.1</v>
      </c>
      <c r="L163" s="864">
        <v>28.1</v>
      </c>
    </row>
    <row r="164" spans="1:12" ht="18" customHeight="1" x14ac:dyDescent="0.25">
      <c r="A164" s="1797"/>
      <c r="B164" s="1688"/>
      <c r="C164" s="1799"/>
      <c r="D164" s="1796"/>
      <c r="E164" s="1711"/>
      <c r="F164" s="1811"/>
      <c r="G164" s="1811"/>
      <c r="H164" s="1666"/>
      <c r="I164" s="543" t="s">
        <v>24</v>
      </c>
      <c r="J164" s="2">
        <f>SUM(J163:J163)</f>
        <v>28.1</v>
      </c>
      <c r="K164" s="2">
        <f>SUM(K163:K163)</f>
        <v>28.1</v>
      </c>
      <c r="L164" s="4">
        <f>SUM(L163:L163)</f>
        <v>28.1</v>
      </c>
    </row>
    <row r="165" spans="1:12" ht="28.5" customHeight="1" x14ac:dyDescent="0.25">
      <c r="A165" s="1797" t="s">
        <v>25</v>
      </c>
      <c r="B165" s="1688" t="s">
        <v>15</v>
      </c>
      <c r="C165" s="1798" t="s">
        <v>27</v>
      </c>
      <c r="D165" s="1796" t="s">
        <v>89</v>
      </c>
      <c r="E165" s="1710" t="s">
        <v>19</v>
      </c>
      <c r="F165" s="1816" t="s">
        <v>20</v>
      </c>
      <c r="G165" s="1810" t="s">
        <v>76</v>
      </c>
      <c r="H165" s="1817" t="s">
        <v>22</v>
      </c>
      <c r="I165" s="551" t="s">
        <v>87</v>
      </c>
      <c r="J165" s="865">
        <v>20.7</v>
      </c>
      <c r="K165" s="865">
        <v>20.7</v>
      </c>
      <c r="L165" s="866">
        <v>20.7</v>
      </c>
    </row>
    <row r="166" spans="1:12" ht="18" customHeight="1" x14ac:dyDescent="0.25">
      <c r="A166" s="1797"/>
      <c r="B166" s="1688"/>
      <c r="C166" s="1799"/>
      <c r="D166" s="1796"/>
      <c r="E166" s="1711"/>
      <c r="F166" s="1811"/>
      <c r="G166" s="1811"/>
      <c r="H166" s="1818"/>
      <c r="I166" s="541" t="s">
        <v>24</v>
      </c>
      <c r="J166" s="2">
        <f>SUM(J165:J165)</f>
        <v>20.7</v>
      </c>
      <c r="K166" s="2">
        <f>SUM(K165:K165)</f>
        <v>20.7</v>
      </c>
      <c r="L166" s="4">
        <f>SUM(L165:L165)</f>
        <v>20.7</v>
      </c>
    </row>
    <row r="167" spans="1:12" ht="26.25" customHeight="1" x14ac:dyDescent="0.25">
      <c r="A167" s="1690" t="s">
        <v>25</v>
      </c>
      <c r="B167" s="1685" t="s">
        <v>15</v>
      </c>
      <c r="C167" s="1686" t="s">
        <v>31</v>
      </c>
      <c r="D167" s="1678" t="s">
        <v>90</v>
      </c>
      <c r="E167" s="1497" t="s">
        <v>19</v>
      </c>
      <c r="F167" s="1471" t="s">
        <v>20</v>
      </c>
      <c r="G167" s="1481" t="s">
        <v>91</v>
      </c>
      <c r="H167" s="1664" t="s">
        <v>22</v>
      </c>
      <c r="I167" s="549" t="s">
        <v>87</v>
      </c>
      <c r="J167" s="867">
        <v>10.5</v>
      </c>
      <c r="K167" s="867">
        <v>10.5</v>
      </c>
      <c r="L167" s="868">
        <v>10.5</v>
      </c>
    </row>
    <row r="168" spans="1:12" ht="12" x14ac:dyDescent="0.25">
      <c r="A168" s="1690"/>
      <c r="B168" s="1685"/>
      <c r="C168" s="1687"/>
      <c r="D168" s="1678"/>
      <c r="E168" s="1498"/>
      <c r="F168" s="1473"/>
      <c r="G168" s="1482"/>
      <c r="H168" s="1666"/>
      <c r="I168" s="552" t="s">
        <v>24</v>
      </c>
      <c r="J168" s="427">
        <f>SUM(J167:J167)</f>
        <v>10.5</v>
      </c>
      <c r="K168" s="427">
        <f>SUM(K167:K167)</f>
        <v>10.5</v>
      </c>
      <c r="L168" s="4">
        <f>SUM(L167:L167)</f>
        <v>10.5</v>
      </c>
    </row>
    <row r="169" spans="1:12" ht="34.5" customHeight="1" x14ac:dyDescent="0.25">
      <c r="A169" s="1691" t="s">
        <v>25</v>
      </c>
      <c r="B169" s="1688" t="s">
        <v>15</v>
      </c>
      <c r="C169" s="1699" t="s">
        <v>33</v>
      </c>
      <c r="D169" s="1702" t="s">
        <v>92</v>
      </c>
      <c r="E169" s="1540" t="s">
        <v>19</v>
      </c>
      <c r="F169" s="1471" t="s">
        <v>20</v>
      </c>
      <c r="G169" s="1477" t="s">
        <v>29</v>
      </c>
      <c r="H169" s="1475" t="s">
        <v>22</v>
      </c>
      <c r="I169" s="549" t="s">
        <v>87</v>
      </c>
      <c r="J169" s="867">
        <v>2.9</v>
      </c>
      <c r="K169" s="867">
        <v>2.9</v>
      </c>
      <c r="L169" s="868">
        <v>2.9</v>
      </c>
    </row>
    <row r="170" spans="1:12" ht="33" customHeight="1" x14ac:dyDescent="0.25">
      <c r="A170" s="1691"/>
      <c r="B170" s="1688"/>
      <c r="C170" s="1700"/>
      <c r="D170" s="1702"/>
      <c r="E170" s="1542"/>
      <c r="F170" s="1473"/>
      <c r="G170" s="1478"/>
      <c r="H170" s="1476"/>
      <c r="I170" s="543" t="s">
        <v>24</v>
      </c>
      <c r="J170" s="427">
        <f>SUM(J169:J169)</f>
        <v>2.9</v>
      </c>
      <c r="K170" s="427">
        <f>SUM(K169:K169)</f>
        <v>2.9</v>
      </c>
      <c r="L170" s="4">
        <f>SUM(L169:L169)</f>
        <v>2.9</v>
      </c>
    </row>
    <row r="171" spans="1:12" ht="25.5" customHeight="1" x14ac:dyDescent="0.25">
      <c r="A171" s="1691" t="s">
        <v>25</v>
      </c>
      <c r="B171" s="1688" t="s">
        <v>15</v>
      </c>
      <c r="C171" s="1699" t="s">
        <v>66</v>
      </c>
      <c r="D171" s="1495" t="s">
        <v>93</v>
      </c>
      <c r="E171" s="1540" t="s">
        <v>19</v>
      </c>
      <c r="F171" s="1471" t="s">
        <v>20</v>
      </c>
      <c r="G171" s="1802" t="s">
        <v>94</v>
      </c>
      <c r="H171" s="1843" t="s">
        <v>22</v>
      </c>
      <c r="I171" s="549" t="s">
        <v>87</v>
      </c>
      <c r="J171" s="867">
        <v>0.5</v>
      </c>
      <c r="K171" s="867">
        <v>0.5</v>
      </c>
      <c r="L171" s="868">
        <v>0.5</v>
      </c>
    </row>
    <row r="172" spans="1:12" ht="12" x14ac:dyDescent="0.25">
      <c r="A172" s="1691"/>
      <c r="B172" s="1688"/>
      <c r="C172" s="1700"/>
      <c r="D172" s="1496"/>
      <c r="E172" s="1542"/>
      <c r="F172" s="1473"/>
      <c r="G172" s="1803"/>
      <c r="H172" s="1844"/>
      <c r="I172" s="535" t="s">
        <v>24</v>
      </c>
      <c r="J172" s="427">
        <f>SUM(J171:J171)</f>
        <v>0.5</v>
      </c>
      <c r="K172" s="427">
        <f>SUM(K171:K171)</f>
        <v>0.5</v>
      </c>
      <c r="L172" s="4">
        <f>SUM(L171:L171)</f>
        <v>0.5</v>
      </c>
    </row>
    <row r="173" spans="1:12" ht="21" customHeight="1" x14ac:dyDescent="0.25">
      <c r="A173" s="1691" t="s">
        <v>25</v>
      </c>
      <c r="B173" s="1688" t="s">
        <v>15</v>
      </c>
      <c r="C173" s="1699" t="s">
        <v>72</v>
      </c>
      <c r="D173" s="1702" t="s">
        <v>95</v>
      </c>
      <c r="E173" s="1540" t="s">
        <v>19</v>
      </c>
      <c r="F173" s="1499" t="s">
        <v>20</v>
      </c>
      <c r="G173" s="1674" t="s">
        <v>29</v>
      </c>
      <c r="H173" s="1479" t="s">
        <v>96</v>
      </c>
      <c r="I173" s="549" t="s">
        <v>87</v>
      </c>
      <c r="J173" s="867">
        <v>45.4</v>
      </c>
      <c r="K173" s="867">
        <v>45.4</v>
      </c>
      <c r="L173" s="868">
        <v>45.4</v>
      </c>
    </row>
    <row r="174" spans="1:12" ht="12" x14ac:dyDescent="0.25">
      <c r="A174" s="1691"/>
      <c r="B174" s="1688"/>
      <c r="C174" s="1700"/>
      <c r="D174" s="1702"/>
      <c r="E174" s="1542"/>
      <c r="F174" s="1500"/>
      <c r="G174" s="1675"/>
      <c r="H174" s="1480"/>
      <c r="I174" s="543" t="s">
        <v>24</v>
      </c>
      <c r="J174" s="427">
        <f>SUM(J173:J173)</f>
        <v>45.4</v>
      </c>
      <c r="K174" s="427">
        <f>SUM(K173:K173)</f>
        <v>45.4</v>
      </c>
      <c r="L174" s="4">
        <f>SUM(L173:L173)</f>
        <v>45.4</v>
      </c>
    </row>
    <row r="175" spans="1:12" ht="35.25" customHeight="1" thickBot="1" x14ac:dyDescent="0.3">
      <c r="A175" s="1691" t="s">
        <v>25</v>
      </c>
      <c r="B175" s="1688" t="s">
        <v>15</v>
      </c>
      <c r="C175" s="1699" t="s">
        <v>74</v>
      </c>
      <c r="D175" s="1796" t="s">
        <v>97</v>
      </c>
      <c r="E175" s="1540" t="s">
        <v>19</v>
      </c>
      <c r="F175" s="1471" t="s">
        <v>20</v>
      </c>
      <c r="G175" s="1845" t="s">
        <v>98</v>
      </c>
      <c r="H175" s="1664" t="s">
        <v>22</v>
      </c>
      <c r="I175" s="1465" t="s">
        <v>23</v>
      </c>
      <c r="J175" s="869">
        <v>12</v>
      </c>
      <c r="K175" s="869">
        <v>0</v>
      </c>
      <c r="L175" s="870">
        <v>0</v>
      </c>
    </row>
    <row r="176" spans="1:12" ht="35.25" customHeight="1" thickBot="1" x14ac:dyDescent="0.3">
      <c r="A176" s="1691"/>
      <c r="B176" s="1688"/>
      <c r="C176" s="1699"/>
      <c r="D176" s="1796"/>
      <c r="E176" s="1541"/>
      <c r="F176" s="1472"/>
      <c r="G176" s="1845"/>
      <c r="H176" s="1665"/>
      <c r="I176" s="1467" t="s">
        <v>87</v>
      </c>
      <c r="J176" s="1468">
        <f>18.5+2.8</f>
        <v>21.3</v>
      </c>
      <c r="K176" s="1468">
        <v>18.5</v>
      </c>
      <c r="L176" s="1430">
        <v>18.5</v>
      </c>
    </row>
    <row r="177" spans="1:12" ht="28.5" customHeight="1" thickBot="1" x14ac:dyDescent="0.3">
      <c r="A177" s="1691"/>
      <c r="B177" s="1688"/>
      <c r="C177" s="1700"/>
      <c r="D177" s="1796"/>
      <c r="E177" s="1542"/>
      <c r="F177" s="1473"/>
      <c r="G177" s="1845"/>
      <c r="H177" s="1666"/>
      <c r="I177" s="532" t="s">
        <v>24</v>
      </c>
      <c r="J177" s="1466">
        <f>J175+J176</f>
        <v>33.299999999999997</v>
      </c>
      <c r="K177" s="1466">
        <f t="shared" ref="K177:L177" si="14">K175+K176</f>
        <v>18.5</v>
      </c>
      <c r="L177" s="1466">
        <f t="shared" si="14"/>
        <v>18.5</v>
      </c>
    </row>
    <row r="178" spans="1:12" ht="18.75" customHeight="1" thickBot="1" x14ac:dyDescent="0.3">
      <c r="A178" s="1690" t="s">
        <v>25</v>
      </c>
      <c r="B178" s="1685" t="s">
        <v>15</v>
      </c>
      <c r="C178" s="1686" t="s">
        <v>78</v>
      </c>
      <c r="D178" s="1495" t="s">
        <v>99</v>
      </c>
      <c r="E178" s="1497" t="s">
        <v>19</v>
      </c>
      <c r="F178" s="1499" t="s">
        <v>100</v>
      </c>
      <c r="G178" s="1674" t="s">
        <v>101</v>
      </c>
      <c r="H178" s="1673" t="s">
        <v>102</v>
      </c>
      <c r="I178" s="549" t="s">
        <v>87</v>
      </c>
      <c r="J178" s="869">
        <f>1075.4+26.5</f>
        <v>1101.9000000000001</v>
      </c>
      <c r="K178" s="869">
        <v>1075.4000000000001</v>
      </c>
      <c r="L178" s="870">
        <v>1075.4000000000001</v>
      </c>
    </row>
    <row r="179" spans="1:12" ht="15" customHeight="1" x14ac:dyDescent="0.25">
      <c r="A179" s="1690"/>
      <c r="B179" s="1685"/>
      <c r="C179" s="1687"/>
      <c r="D179" s="1495"/>
      <c r="E179" s="1498"/>
      <c r="F179" s="1500"/>
      <c r="G179" s="1675"/>
      <c r="H179" s="1480"/>
      <c r="I179" s="552" t="s">
        <v>24</v>
      </c>
      <c r="J179" s="427">
        <f>SUM(J178:J178)</f>
        <v>1101.9000000000001</v>
      </c>
      <c r="K179" s="427">
        <f>SUM(K178:K178)</f>
        <v>1075.4000000000001</v>
      </c>
      <c r="L179" s="4">
        <f>SUM(L178:L178)</f>
        <v>1075.4000000000001</v>
      </c>
    </row>
    <row r="180" spans="1:12" ht="48" customHeight="1" x14ac:dyDescent="0.25">
      <c r="A180" s="1696" t="s">
        <v>25</v>
      </c>
      <c r="B180" s="1697" t="s">
        <v>15</v>
      </c>
      <c r="C180" s="1686" t="s">
        <v>103</v>
      </c>
      <c r="D180" s="1678" t="s">
        <v>104</v>
      </c>
      <c r="E180" s="1497" t="s">
        <v>19</v>
      </c>
      <c r="F180" s="1471" t="s">
        <v>20</v>
      </c>
      <c r="G180" s="1481" t="s">
        <v>105</v>
      </c>
      <c r="H180" s="1474" t="s">
        <v>22</v>
      </c>
      <c r="I180" s="551" t="s">
        <v>87</v>
      </c>
      <c r="J180" s="867">
        <v>1.7</v>
      </c>
      <c r="K180" s="867">
        <v>1.8</v>
      </c>
      <c r="L180" s="868">
        <v>1.8</v>
      </c>
    </row>
    <row r="181" spans="1:12" ht="19.5" customHeight="1" x14ac:dyDescent="0.25">
      <c r="A181" s="1690"/>
      <c r="B181" s="1685"/>
      <c r="C181" s="1698"/>
      <c r="D181" s="1678"/>
      <c r="E181" s="1498"/>
      <c r="F181" s="1473"/>
      <c r="G181" s="1482"/>
      <c r="H181" s="1470"/>
      <c r="I181" s="545" t="s">
        <v>24</v>
      </c>
      <c r="J181" s="427">
        <f>SUM(J180:J180)</f>
        <v>1.7</v>
      </c>
      <c r="K181" s="427">
        <f>SUM(K180:K180)</f>
        <v>1.8</v>
      </c>
      <c r="L181" s="4">
        <f>SUM(L180:L180)</f>
        <v>1.8</v>
      </c>
    </row>
    <row r="182" spans="1:12" ht="27.75" customHeight="1" x14ac:dyDescent="0.25">
      <c r="A182" s="1692" t="s">
        <v>25</v>
      </c>
      <c r="B182" s="1694" t="s">
        <v>15</v>
      </c>
      <c r="C182" s="1592" t="s">
        <v>106</v>
      </c>
      <c r="D182" s="1669" t="s">
        <v>107</v>
      </c>
      <c r="E182" s="1497" t="s">
        <v>19</v>
      </c>
      <c r="F182" s="1612" t="s">
        <v>20</v>
      </c>
      <c r="G182" s="1614" t="s">
        <v>108</v>
      </c>
      <c r="H182" s="1469" t="s">
        <v>109</v>
      </c>
      <c r="I182" s="549" t="s">
        <v>87</v>
      </c>
      <c r="J182" s="871">
        <v>30.6</v>
      </c>
      <c r="K182" s="871">
        <v>30.6</v>
      </c>
      <c r="L182" s="871">
        <v>30.6</v>
      </c>
    </row>
    <row r="183" spans="1:12" ht="19.5" customHeight="1" x14ac:dyDescent="0.25">
      <c r="A183" s="1693"/>
      <c r="B183" s="1695"/>
      <c r="C183" s="1611"/>
      <c r="D183" s="1670"/>
      <c r="E183" s="1498"/>
      <c r="F183" s="1613"/>
      <c r="G183" s="1615"/>
      <c r="H183" s="1470"/>
      <c r="I183" s="553" t="s">
        <v>24</v>
      </c>
      <c r="J183" s="425">
        <f>SUM(J182:J182)</f>
        <v>30.6</v>
      </c>
      <c r="K183" s="213">
        <f>SUM(K182:K182)</f>
        <v>30.6</v>
      </c>
      <c r="L183" s="213">
        <f>SUM(L182:L182)</f>
        <v>30.6</v>
      </c>
    </row>
    <row r="184" spans="1:12" ht="19.5" customHeight="1" x14ac:dyDescent="0.25">
      <c r="A184" s="1588" t="s">
        <v>25</v>
      </c>
      <c r="B184" s="1590" t="s">
        <v>15</v>
      </c>
      <c r="C184" s="1592" t="s">
        <v>110</v>
      </c>
      <c r="D184" s="1647" t="s">
        <v>111</v>
      </c>
      <c r="E184" s="1497" t="s">
        <v>19</v>
      </c>
      <c r="F184" s="1612" t="s">
        <v>20</v>
      </c>
      <c r="G184" s="1614" t="s">
        <v>112</v>
      </c>
      <c r="H184" s="1474" t="s">
        <v>22</v>
      </c>
      <c r="I184" s="554" t="s">
        <v>87</v>
      </c>
      <c r="J184" s="872">
        <v>9</v>
      </c>
      <c r="K184" s="873">
        <v>9</v>
      </c>
      <c r="L184" s="874">
        <v>9</v>
      </c>
    </row>
    <row r="185" spans="1:12" ht="30" customHeight="1" x14ac:dyDescent="0.25">
      <c r="A185" s="1701"/>
      <c r="B185" s="1662"/>
      <c r="C185" s="1593"/>
      <c r="D185" s="1677"/>
      <c r="E185" s="1684"/>
      <c r="F185" s="1671"/>
      <c r="G185" s="1672"/>
      <c r="H185" s="1676"/>
      <c r="I185" s="552" t="s">
        <v>24</v>
      </c>
      <c r="J185" s="36">
        <f>SUM(J184:J184)</f>
        <v>9</v>
      </c>
      <c r="K185" s="282">
        <f>SUM(K184:K184)</f>
        <v>9</v>
      </c>
      <c r="L185" s="252">
        <f>SUM(L184:L184)</f>
        <v>9</v>
      </c>
    </row>
    <row r="186" spans="1:12" ht="37.5" customHeight="1" x14ac:dyDescent="0.25">
      <c r="A186" s="1588" t="s">
        <v>25</v>
      </c>
      <c r="B186" s="1543" t="s">
        <v>15</v>
      </c>
      <c r="C186" s="1546" t="s">
        <v>113</v>
      </c>
      <c r="D186" s="1681" t="s">
        <v>114</v>
      </c>
      <c r="E186" s="1534" t="s">
        <v>19</v>
      </c>
      <c r="F186" s="1537" t="s">
        <v>20</v>
      </c>
      <c r="G186" s="742" t="s">
        <v>115</v>
      </c>
      <c r="H186" s="1789" t="s">
        <v>22</v>
      </c>
      <c r="I186" s="1830" t="s">
        <v>87</v>
      </c>
      <c r="J186" s="1832">
        <v>43.9</v>
      </c>
      <c r="K186" s="1832">
        <v>43.9</v>
      </c>
      <c r="L186" s="1834">
        <v>43.9</v>
      </c>
    </row>
    <row r="187" spans="1:12" ht="20.25" customHeight="1" x14ac:dyDescent="0.25">
      <c r="A187" s="1589"/>
      <c r="B187" s="1544"/>
      <c r="C187" s="1547"/>
      <c r="D187" s="1682"/>
      <c r="E187" s="1535"/>
      <c r="F187" s="1538"/>
      <c r="G187" s="1586" t="s">
        <v>116</v>
      </c>
      <c r="H187" s="1790"/>
      <c r="I187" s="1831"/>
      <c r="J187" s="1833"/>
      <c r="K187" s="1833"/>
      <c r="L187" s="1835"/>
    </row>
    <row r="188" spans="1:12" ht="28.5" customHeight="1" x14ac:dyDescent="0.25">
      <c r="A188" s="1701"/>
      <c r="B188" s="1545"/>
      <c r="C188" s="1548"/>
      <c r="D188" s="1683"/>
      <c r="E188" s="1536"/>
      <c r="F188" s="1539"/>
      <c r="G188" s="1587"/>
      <c r="H188" s="1791"/>
      <c r="I188" s="81" t="s">
        <v>24</v>
      </c>
      <c r="J188" s="82">
        <f>SUM(J186:J187)</f>
        <v>43.9</v>
      </c>
      <c r="K188" s="82">
        <f>SUM(K186:K187)</f>
        <v>43.9</v>
      </c>
      <c r="L188" s="83">
        <f>SUM(L186:L187)</f>
        <v>43.9</v>
      </c>
    </row>
    <row r="189" spans="1:12" ht="12" x14ac:dyDescent="0.25">
      <c r="A189" s="62" t="s">
        <v>25</v>
      </c>
      <c r="B189" s="84" t="s">
        <v>15</v>
      </c>
      <c r="C189" s="85"/>
      <c r="D189" s="85"/>
      <c r="E189" s="85"/>
      <c r="F189" s="85"/>
      <c r="G189" s="85"/>
      <c r="H189" s="85"/>
      <c r="I189" s="86" t="s">
        <v>80</v>
      </c>
      <c r="J189" s="51">
        <f>J156+J162+J164+J166+J168+J170+J172+J174+J177+J179+J181+J183+J185+J188</f>
        <v>1329.0000000000002</v>
      </c>
      <c r="K189" s="51">
        <f>K156+K162+K164+K166+K168+K170+K172+K174+K177+K179+K181+K183+K185+K188</f>
        <v>1287.8</v>
      </c>
      <c r="L189" s="51">
        <f>L156+L162+L164+L166+L168+L170+L172+L174+L177+L179+L181+L183+L185+L188</f>
        <v>1287.8</v>
      </c>
    </row>
    <row r="190" spans="1:12" ht="12" x14ac:dyDescent="0.25">
      <c r="A190" s="87" t="s">
        <v>25</v>
      </c>
      <c r="B190" s="88" t="s">
        <v>25</v>
      </c>
      <c r="C190" s="89" t="s">
        <v>117</v>
      </c>
      <c r="D190" s="88"/>
      <c r="E190" s="88"/>
      <c r="F190" s="88"/>
      <c r="G190" s="88"/>
      <c r="H190" s="88"/>
      <c r="I190" s="90"/>
      <c r="J190" s="91"/>
      <c r="K190" s="90"/>
      <c r="L190" s="92"/>
    </row>
    <row r="191" spans="1:12" ht="36.75" customHeight="1" x14ac:dyDescent="0.25">
      <c r="A191" s="1588" t="s">
        <v>25</v>
      </c>
      <c r="B191" s="1590" t="s">
        <v>25</v>
      </c>
      <c r="C191" s="1592" t="s">
        <v>15</v>
      </c>
      <c r="D191" s="1647" t="s">
        <v>118</v>
      </c>
      <c r="E191" s="1497" t="s">
        <v>19</v>
      </c>
      <c r="F191" s="1612" t="s">
        <v>20</v>
      </c>
      <c r="G191" s="1614" t="s">
        <v>29</v>
      </c>
      <c r="H191" s="1475" t="s">
        <v>22</v>
      </c>
      <c r="I191" s="93" t="s">
        <v>23</v>
      </c>
      <c r="J191" s="94">
        <v>100</v>
      </c>
      <c r="K191" s="94">
        <v>100</v>
      </c>
      <c r="L191" s="94">
        <v>100</v>
      </c>
    </row>
    <row r="192" spans="1:12" ht="16.5" customHeight="1" x14ac:dyDescent="0.25">
      <c r="A192" s="1701"/>
      <c r="B192" s="1662"/>
      <c r="C192" s="1611"/>
      <c r="D192" s="1648"/>
      <c r="E192" s="1498"/>
      <c r="F192" s="1613"/>
      <c r="G192" s="1615"/>
      <c r="H192" s="1470"/>
      <c r="I192" s="552" t="s">
        <v>24</v>
      </c>
      <c r="J192" s="4">
        <f>SUM(J191:J191)</f>
        <v>100</v>
      </c>
      <c r="K192" s="4">
        <f>SUM(K191:K191)</f>
        <v>100</v>
      </c>
      <c r="L192" s="4">
        <f>SUM(L191:L191)</f>
        <v>100</v>
      </c>
    </row>
    <row r="193" spans="1:12" ht="12" x14ac:dyDescent="0.25">
      <c r="A193" s="76" t="s">
        <v>25</v>
      </c>
      <c r="B193" s="95" t="s">
        <v>25</v>
      </c>
      <c r="C193" s="95"/>
      <c r="D193" s="95"/>
      <c r="E193" s="95"/>
      <c r="F193" s="95"/>
      <c r="G193" s="95"/>
      <c r="H193" s="95"/>
      <c r="I193" s="96" t="s">
        <v>80</v>
      </c>
      <c r="J193" s="97">
        <f>J192</f>
        <v>100</v>
      </c>
      <c r="K193" s="97">
        <f t="shared" ref="K193:L193" si="15">K192</f>
        <v>100</v>
      </c>
      <c r="L193" s="97">
        <f t="shared" si="15"/>
        <v>100</v>
      </c>
    </row>
    <row r="194" spans="1:12" ht="12" x14ac:dyDescent="0.25">
      <c r="A194" s="62" t="s">
        <v>25</v>
      </c>
      <c r="B194" s="63"/>
      <c r="C194" s="64"/>
      <c r="D194" s="64"/>
      <c r="E194" s="64"/>
      <c r="F194" s="64"/>
      <c r="G194" s="64"/>
      <c r="H194" s="64"/>
      <c r="I194" s="65" t="s">
        <v>83</v>
      </c>
      <c r="J194" s="98">
        <f>J189+J193</f>
        <v>1429.0000000000002</v>
      </c>
      <c r="K194" s="98">
        <f>K189+K193</f>
        <v>1387.8</v>
      </c>
      <c r="L194" s="98">
        <f>L189+L193</f>
        <v>1387.8</v>
      </c>
    </row>
    <row r="195" spans="1:12" ht="25.5" customHeight="1" x14ac:dyDescent="0.25">
      <c r="A195" s="87" t="s">
        <v>27</v>
      </c>
      <c r="B195" s="1638" t="s">
        <v>119</v>
      </c>
      <c r="C195" s="1638"/>
      <c r="D195" s="1638"/>
      <c r="E195" s="1638"/>
      <c r="F195" s="1638"/>
      <c r="G195" s="1638"/>
      <c r="H195" s="1638"/>
      <c r="I195" s="1638"/>
      <c r="J195" s="1639"/>
      <c r="K195" s="1639"/>
      <c r="L195" s="1640"/>
    </row>
    <row r="196" spans="1:12" ht="12" x14ac:dyDescent="0.25">
      <c r="A196" s="87" t="s">
        <v>27</v>
      </c>
      <c r="B196" s="84" t="s">
        <v>15</v>
      </c>
      <c r="C196" s="1641" t="s">
        <v>120</v>
      </c>
      <c r="D196" s="1642"/>
      <c r="E196" s="1642"/>
      <c r="F196" s="1642"/>
      <c r="G196" s="1642"/>
      <c r="H196" s="1642"/>
      <c r="I196" s="1643"/>
      <c r="J196" s="1643"/>
      <c r="K196" s="1643"/>
      <c r="L196" s="1644"/>
    </row>
    <row r="197" spans="1:12" ht="18" customHeight="1" x14ac:dyDescent="0.25">
      <c r="A197" s="1588" t="s">
        <v>27</v>
      </c>
      <c r="B197" s="1590" t="s">
        <v>15</v>
      </c>
      <c r="C197" s="1592" t="s">
        <v>15</v>
      </c>
      <c r="D197" s="1647" t="s">
        <v>121</v>
      </c>
      <c r="E197" s="1497" t="s">
        <v>19</v>
      </c>
      <c r="F197" s="1612" t="s">
        <v>20</v>
      </c>
      <c r="G197" s="1614" t="s">
        <v>29</v>
      </c>
      <c r="H197" s="1655" t="s">
        <v>122</v>
      </c>
      <c r="I197" s="555" t="s">
        <v>23</v>
      </c>
      <c r="J197" s="424">
        <v>44</v>
      </c>
      <c r="K197" s="424">
        <v>44</v>
      </c>
      <c r="L197" s="424">
        <v>44</v>
      </c>
    </row>
    <row r="198" spans="1:12" ht="20.25" customHeight="1" x14ac:dyDescent="0.25">
      <c r="A198" s="1701"/>
      <c r="B198" s="1662"/>
      <c r="C198" s="1611"/>
      <c r="D198" s="1648"/>
      <c r="E198" s="1498"/>
      <c r="F198" s="1613"/>
      <c r="G198" s="1615"/>
      <c r="H198" s="1470"/>
      <c r="I198" s="548" t="s">
        <v>24</v>
      </c>
      <c r="J198" s="4">
        <f>SUM(J197)</f>
        <v>44</v>
      </c>
      <c r="K198" s="4">
        <f t="shared" ref="K198:L198" si="16">SUM(K197)</f>
        <v>44</v>
      </c>
      <c r="L198" s="4">
        <f t="shared" si="16"/>
        <v>44</v>
      </c>
    </row>
    <row r="199" spans="1:12" ht="44.25" customHeight="1" thickBot="1" x14ac:dyDescent="0.3">
      <c r="A199" s="48" t="s">
        <v>27</v>
      </c>
      <c r="B199" s="43" t="s">
        <v>15</v>
      </c>
      <c r="C199" s="1601" t="s">
        <v>25</v>
      </c>
      <c r="D199" s="1558" t="s">
        <v>123</v>
      </c>
      <c r="E199" s="1577" t="s">
        <v>19</v>
      </c>
      <c r="F199" s="1583" t="s">
        <v>20</v>
      </c>
      <c r="G199" s="1689" t="s">
        <v>124</v>
      </c>
      <c r="H199" s="1616" t="s">
        <v>125</v>
      </c>
      <c r="I199" s="539" t="s">
        <v>23</v>
      </c>
      <c r="J199" s="264">
        <v>21</v>
      </c>
      <c r="K199" s="264">
        <v>21</v>
      </c>
      <c r="L199" s="556">
        <v>21</v>
      </c>
    </row>
    <row r="200" spans="1:12" ht="30" customHeight="1" thickBot="1" x14ac:dyDescent="0.3">
      <c r="A200" s="42"/>
      <c r="B200" s="43"/>
      <c r="C200" s="1602"/>
      <c r="D200" s="1603"/>
      <c r="E200" s="1578"/>
      <c r="F200" s="1580"/>
      <c r="G200" s="1580"/>
      <c r="H200" s="1663"/>
      <c r="I200" s="540" t="s">
        <v>24</v>
      </c>
      <c r="J200" s="212">
        <f>SUM(J199:J199)</f>
        <v>21</v>
      </c>
      <c r="K200" s="212">
        <f>SUM(K199:K199)</f>
        <v>21</v>
      </c>
      <c r="L200" s="213">
        <f>SUM(L199:L199)</f>
        <v>21</v>
      </c>
    </row>
    <row r="201" spans="1:12" ht="30" customHeight="1" thickBot="1" x14ac:dyDescent="0.3">
      <c r="A201" s="1608" t="s">
        <v>27</v>
      </c>
      <c r="B201" s="1656" t="s">
        <v>15</v>
      </c>
      <c r="C201" s="1619" t="s">
        <v>27</v>
      </c>
      <c r="D201" s="1622" t="s">
        <v>506</v>
      </c>
      <c r="E201" s="1577" t="s">
        <v>177</v>
      </c>
      <c r="F201" s="1583" t="s">
        <v>20</v>
      </c>
      <c r="G201" s="1583" t="s">
        <v>178</v>
      </c>
      <c r="H201" s="1616"/>
      <c r="I201" s="1439" t="s">
        <v>227</v>
      </c>
      <c r="J201" s="1440">
        <f>0+200</f>
        <v>200</v>
      </c>
      <c r="K201" s="1440">
        <v>0</v>
      </c>
      <c r="L201" s="1327">
        <v>0</v>
      </c>
    </row>
    <row r="202" spans="1:12" ht="30" customHeight="1" thickBot="1" x14ac:dyDescent="0.3">
      <c r="A202" s="1609"/>
      <c r="B202" s="1657"/>
      <c r="C202" s="1620"/>
      <c r="D202" s="1623"/>
      <c r="E202" s="1625"/>
      <c r="F202" s="1582"/>
      <c r="G202" s="1582"/>
      <c r="H202" s="1617"/>
      <c r="I202" s="1439" t="s">
        <v>23</v>
      </c>
      <c r="J202" s="1440">
        <f>0+30-3.6-26.4</f>
        <v>0</v>
      </c>
      <c r="K202" s="1440">
        <v>0</v>
      </c>
      <c r="L202" s="1327">
        <v>0</v>
      </c>
    </row>
    <row r="203" spans="1:12" ht="30" customHeight="1" thickBot="1" x14ac:dyDescent="0.3">
      <c r="A203" s="1609"/>
      <c r="B203" s="1657"/>
      <c r="C203" s="1620"/>
      <c r="D203" s="1623"/>
      <c r="E203" s="1625"/>
      <c r="F203" s="1448" t="s">
        <v>44</v>
      </c>
      <c r="G203" s="1448" t="s">
        <v>171</v>
      </c>
      <c r="H203" s="1617"/>
      <c r="I203" s="1439" t="s">
        <v>23</v>
      </c>
      <c r="J203" s="1440">
        <f>0+1.2</f>
        <v>1.2</v>
      </c>
      <c r="K203" s="1440">
        <v>0</v>
      </c>
      <c r="L203" s="1327">
        <v>0</v>
      </c>
    </row>
    <row r="204" spans="1:12" ht="30" customHeight="1" thickBot="1" x14ac:dyDescent="0.3">
      <c r="A204" s="1609"/>
      <c r="B204" s="1657"/>
      <c r="C204" s="1620"/>
      <c r="D204" s="1623"/>
      <c r="E204" s="1625"/>
      <c r="F204" s="1448" t="s">
        <v>509</v>
      </c>
      <c r="G204" s="1448" t="s">
        <v>171</v>
      </c>
      <c r="H204" s="1617"/>
      <c r="I204" s="1439" t="s">
        <v>23</v>
      </c>
      <c r="J204" s="1440">
        <f>0+1.2</f>
        <v>1.2</v>
      </c>
      <c r="K204" s="1440">
        <v>0</v>
      </c>
      <c r="L204" s="1327">
        <v>0</v>
      </c>
    </row>
    <row r="205" spans="1:12" ht="30" customHeight="1" thickBot="1" x14ac:dyDescent="0.3">
      <c r="A205" s="1609"/>
      <c r="B205" s="1657"/>
      <c r="C205" s="1620"/>
      <c r="D205" s="1623"/>
      <c r="E205" s="1625"/>
      <c r="F205" s="1446" t="s">
        <v>61</v>
      </c>
      <c r="G205" s="1583" t="s">
        <v>171</v>
      </c>
      <c r="H205" s="1617"/>
      <c r="I205" s="1439" t="s">
        <v>23</v>
      </c>
      <c r="J205" s="1440">
        <f>0+1.2</f>
        <v>1.2</v>
      </c>
      <c r="K205" s="1440">
        <v>0</v>
      </c>
      <c r="L205" s="1327">
        <v>0</v>
      </c>
    </row>
    <row r="206" spans="1:12" ht="30" customHeight="1" thickBot="1" x14ac:dyDescent="0.3">
      <c r="A206" s="1610"/>
      <c r="B206" s="1658"/>
      <c r="C206" s="1621"/>
      <c r="D206" s="1624"/>
      <c r="E206" s="1578"/>
      <c r="F206" s="1447"/>
      <c r="G206" s="1580"/>
      <c r="H206" s="1618"/>
      <c r="I206" s="1438" t="s">
        <v>24</v>
      </c>
      <c r="J206" s="789">
        <f>J201+J202+J203+J204+J205</f>
        <v>203.59999999999997</v>
      </c>
      <c r="K206" s="789">
        <f>SUM(K201:K201)</f>
        <v>0</v>
      </c>
      <c r="L206" s="37">
        <f>SUM(L201:L201)</f>
        <v>0</v>
      </c>
    </row>
    <row r="207" spans="1:12" ht="18" customHeight="1" thickBot="1" x14ac:dyDescent="0.3">
      <c r="A207" s="87" t="s">
        <v>27</v>
      </c>
      <c r="B207" s="95" t="s">
        <v>15</v>
      </c>
      <c r="C207" s="99"/>
      <c r="D207" s="89"/>
      <c r="E207" s="89"/>
      <c r="F207" s="89"/>
      <c r="G207" s="89"/>
      <c r="H207" s="89"/>
      <c r="I207" s="103" t="s">
        <v>80</v>
      </c>
      <c r="J207" s="51">
        <f>J198+J200+J206</f>
        <v>268.59999999999997</v>
      </c>
      <c r="K207" s="51">
        <f>K198+K200</f>
        <v>65</v>
      </c>
      <c r="L207" s="51">
        <f>L198+L200</f>
        <v>65</v>
      </c>
    </row>
    <row r="208" spans="1:12" ht="14.25" customHeight="1" x14ac:dyDescent="0.25">
      <c r="A208" s="87" t="s">
        <v>27</v>
      </c>
      <c r="B208" s="63"/>
      <c r="C208" s="64"/>
      <c r="D208" s="64"/>
      <c r="E208" s="64"/>
      <c r="F208" s="64"/>
      <c r="G208" s="64"/>
      <c r="H208" s="64"/>
      <c r="I208" s="65" t="s">
        <v>83</v>
      </c>
      <c r="J208" s="98">
        <f>J207</f>
        <v>268.59999999999997</v>
      </c>
      <c r="K208" s="98">
        <f t="shared" ref="K208:L208" si="17">K207</f>
        <v>65</v>
      </c>
      <c r="L208" s="98">
        <f t="shared" si="17"/>
        <v>65</v>
      </c>
    </row>
    <row r="209" spans="1:12" ht="21" customHeight="1" x14ac:dyDescent="0.25">
      <c r="A209" s="87" t="s">
        <v>31</v>
      </c>
      <c r="B209" s="104" t="s">
        <v>126</v>
      </c>
      <c r="C209" s="64"/>
      <c r="D209" s="64"/>
      <c r="E209" s="64"/>
      <c r="F209" s="64"/>
      <c r="G209" s="64"/>
      <c r="H209" s="64"/>
      <c r="I209" s="64"/>
      <c r="J209" s="105"/>
      <c r="K209" s="64"/>
      <c r="L209" s="106"/>
    </row>
    <row r="210" spans="1:12" ht="13.5" customHeight="1" x14ac:dyDescent="0.25">
      <c r="A210" s="87" t="s">
        <v>31</v>
      </c>
      <c r="B210" s="84" t="s">
        <v>15</v>
      </c>
      <c r="C210" s="89" t="s">
        <v>127</v>
      </c>
      <c r="D210" s="89"/>
      <c r="E210" s="89"/>
      <c r="F210" s="100"/>
      <c r="G210" s="100"/>
      <c r="H210" s="89"/>
      <c r="I210" s="100"/>
      <c r="J210" s="107"/>
      <c r="K210" s="100"/>
      <c r="L210" s="101"/>
    </row>
    <row r="211" spans="1:12" ht="14.25" customHeight="1" x14ac:dyDescent="0.25">
      <c r="A211" s="1588" t="s">
        <v>31</v>
      </c>
      <c r="B211" s="1590" t="s">
        <v>15</v>
      </c>
      <c r="C211" s="1592" t="s">
        <v>15</v>
      </c>
      <c r="D211" s="1594" t="s">
        <v>128</v>
      </c>
      <c r="E211" s="1596" t="s">
        <v>19</v>
      </c>
      <c r="F211" s="1606" t="s">
        <v>129</v>
      </c>
      <c r="G211" s="1679" t="s">
        <v>130</v>
      </c>
      <c r="H211" s="1667" t="s">
        <v>22</v>
      </c>
      <c r="I211" s="1189" t="s">
        <v>23</v>
      </c>
      <c r="J211" s="1196">
        <f>20.1+9.3</f>
        <v>29.400000000000002</v>
      </c>
      <c r="K211" s="1185">
        <v>20.100000000000001</v>
      </c>
      <c r="L211" s="1180">
        <v>20.100000000000001</v>
      </c>
    </row>
    <row r="212" spans="1:12" ht="14.25" customHeight="1" x14ac:dyDescent="0.25">
      <c r="A212" s="1589"/>
      <c r="B212" s="1591"/>
      <c r="C212" s="1593"/>
      <c r="D212" s="1595"/>
      <c r="E212" s="1597"/>
      <c r="F212" s="1605"/>
      <c r="G212" s="1680"/>
      <c r="H212" s="1668"/>
      <c r="I212" s="1190" t="s">
        <v>30</v>
      </c>
      <c r="J212" s="1098">
        <v>0.1</v>
      </c>
      <c r="K212" s="1186">
        <v>0</v>
      </c>
      <c r="L212" s="1181">
        <v>0</v>
      </c>
    </row>
    <row r="213" spans="1:12" ht="17.25" customHeight="1" x14ac:dyDescent="0.25">
      <c r="A213" s="1589"/>
      <c r="B213" s="1591"/>
      <c r="C213" s="1593"/>
      <c r="D213" s="1595"/>
      <c r="E213" s="1597"/>
      <c r="F213" s="1604" t="s">
        <v>131</v>
      </c>
      <c r="G213" s="1680"/>
      <c r="H213" s="1668"/>
      <c r="I213" s="1191" t="s">
        <v>23</v>
      </c>
      <c r="J213" s="1197">
        <f>17.1-0.8</f>
        <v>16.3</v>
      </c>
      <c r="K213" s="1187">
        <v>17.100000000000001</v>
      </c>
      <c r="L213" s="1180">
        <v>17.100000000000001</v>
      </c>
    </row>
    <row r="214" spans="1:12" ht="17.25" customHeight="1" x14ac:dyDescent="0.25">
      <c r="A214" s="1589"/>
      <c r="B214" s="1591"/>
      <c r="C214" s="1593"/>
      <c r="D214" s="1595"/>
      <c r="E214" s="1597"/>
      <c r="F214" s="1605"/>
      <c r="G214" s="1680"/>
      <c r="H214" s="1668"/>
      <c r="I214" s="1190" t="s">
        <v>30</v>
      </c>
      <c r="J214" s="1098">
        <v>0.4</v>
      </c>
      <c r="K214" s="1186">
        <v>0</v>
      </c>
      <c r="L214" s="1181">
        <v>0</v>
      </c>
    </row>
    <row r="215" spans="1:12" ht="17.25" customHeight="1" x14ac:dyDescent="0.25">
      <c r="A215" s="1589"/>
      <c r="B215" s="1591"/>
      <c r="C215" s="1593"/>
      <c r="D215" s="1595"/>
      <c r="E215" s="1597"/>
      <c r="F215" s="1604" t="s">
        <v>132</v>
      </c>
      <c r="G215" s="1680"/>
      <c r="H215" s="1668"/>
      <c r="I215" s="1191" t="s">
        <v>23</v>
      </c>
      <c r="J215" s="1197">
        <f>85.7-40.5-7.4</f>
        <v>37.800000000000004</v>
      </c>
      <c r="K215" s="1187">
        <v>85.7</v>
      </c>
      <c r="L215" s="1180">
        <v>85.7</v>
      </c>
    </row>
    <row r="216" spans="1:12" ht="17.25" customHeight="1" x14ac:dyDescent="0.25">
      <c r="A216" s="1589"/>
      <c r="B216" s="1591"/>
      <c r="C216" s="1593"/>
      <c r="D216" s="1595"/>
      <c r="E216" s="1597"/>
      <c r="F216" s="1605"/>
      <c r="G216" s="1680"/>
      <c r="H216" s="1668"/>
      <c r="I216" s="1190" t="s">
        <v>30</v>
      </c>
      <c r="J216" s="1098">
        <v>0.1</v>
      </c>
      <c r="K216" s="1186">
        <v>0</v>
      </c>
      <c r="L216" s="1181">
        <v>0</v>
      </c>
    </row>
    <row r="217" spans="1:12" ht="18" customHeight="1" x14ac:dyDescent="0.25">
      <c r="A217" s="1589"/>
      <c r="B217" s="1591"/>
      <c r="C217" s="1593"/>
      <c r="D217" s="1595"/>
      <c r="E217" s="1597"/>
      <c r="F217" s="1604" t="s">
        <v>133</v>
      </c>
      <c r="G217" s="1680"/>
      <c r="H217" s="1668"/>
      <c r="I217" s="1191" t="s">
        <v>23</v>
      </c>
      <c r="J217" s="1197">
        <v>15.9</v>
      </c>
      <c r="K217" s="1187">
        <v>15.9</v>
      </c>
      <c r="L217" s="1180">
        <v>15.9</v>
      </c>
    </row>
    <row r="218" spans="1:12" ht="18" customHeight="1" x14ac:dyDescent="0.25">
      <c r="A218" s="1589"/>
      <c r="B218" s="1591"/>
      <c r="C218" s="1593"/>
      <c r="D218" s="1595"/>
      <c r="E218" s="1597"/>
      <c r="F218" s="1605"/>
      <c r="G218" s="1680"/>
      <c r="H218" s="1668"/>
      <c r="I218" s="1190" t="s">
        <v>30</v>
      </c>
      <c r="J218" s="1098">
        <v>0.2</v>
      </c>
      <c r="K218" s="1186">
        <v>0</v>
      </c>
      <c r="L218" s="1181">
        <v>0</v>
      </c>
    </row>
    <row r="219" spans="1:12" ht="16.5" customHeight="1" x14ac:dyDescent="0.25">
      <c r="A219" s="1589"/>
      <c r="B219" s="1591"/>
      <c r="C219" s="1593"/>
      <c r="D219" s="1595"/>
      <c r="E219" s="1597"/>
      <c r="F219" s="1604" t="s">
        <v>134</v>
      </c>
      <c r="G219" s="1680"/>
      <c r="H219" s="1668"/>
      <c r="I219" s="1191" t="s">
        <v>23</v>
      </c>
      <c r="J219" s="1197">
        <f>37.9+12.1</f>
        <v>50</v>
      </c>
      <c r="K219" s="1187">
        <v>37.9</v>
      </c>
      <c r="L219" s="1180">
        <v>37.9</v>
      </c>
    </row>
    <row r="220" spans="1:12" ht="16.5" customHeight="1" x14ac:dyDescent="0.25">
      <c r="A220" s="1589"/>
      <c r="B220" s="1591"/>
      <c r="C220" s="1593"/>
      <c r="D220" s="1595"/>
      <c r="E220" s="1597"/>
      <c r="F220" s="1605"/>
      <c r="G220" s="1680"/>
      <c r="H220" s="1668"/>
      <c r="I220" s="1190" t="s">
        <v>30</v>
      </c>
      <c r="J220" s="1098">
        <v>0.3</v>
      </c>
      <c r="K220" s="1186">
        <v>0</v>
      </c>
      <c r="L220" s="1181">
        <v>0</v>
      </c>
    </row>
    <row r="221" spans="1:12" ht="18.75" customHeight="1" x14ac:dyDescent="0.25">
      <c r="A221" s="1589"/>
      <c r="B221" s="1591"/>
      <c r="C221" s="1593"/>
      <c r="D221" s="1595"/>
      <c r="E221" s="1597"/>
      <c r="F221" s="1604" t="s">
        <v>135</v>
      </c>
      <c r="G221" s="1680"/>
      <c r="H221" s="1668"/>
      <c r="I221" s="1191" t="s">
        <v>23</v>
      </c>
      <c r="J221" s="1197">
        <v>17.600000000000001</v>
      </c>
      <c r="K221" s="1187">
        <v>17.600000000000001</v>
      </c>
      <c r="L221" s="1180">
        <v>17.600000000000001</v>
      </c>
    </row>
    <row r="222" spans="1:12" ht="18.75" customHeight="1" x14ac:dyDescent="0.25">
      <c r="A222" s="1589"/>
      <c r="B222" s="1591"/>
      <c r="C222" s="1593"/>
      <c r="D222" s="1595"/>
      <c r="E222" s="1597"/>
      <c r="F222" s="1605"/>
      <c r="G222" s="1680"/>
      <c r="H222" s="1668"/>
      <c r="I222" s="1190" t="s">
        <v>30</v>
      </c>
      <c r="J222" s="1098">
        <v>0.6</v>
      </c>
      <c r="K222" s="1186">
        <v>0</v>
      </c>
      <c r="L222" s="1181">
        <v>0</v>
      </c>
    </row>
    <row r="223" spans="1:12" ht="14.25" customHeight="1" x14ac:dyDescent="0.25">
      <c r="A223" s="1589"/>
      <c r="B223" s="1591"/>
      <c r="C223" s="1593"/>
      <c r="D223" s="1595"/>
      <c r="E223" s="1597"/>
      <c r="F223" s="1604" t="s">
        <v>136</v>
      </c>
      <c r="G223" s="1680"/>
      <c r="H223" s="1668"/>
      <c r="I223" s="1191" t="s">
        <v>23</v>
      </c>
      <c r="J223" s="1197">
        <v>33.5</v>
      </c>
      <c r="K223" s="1187">
        <v>33.5</v>
      </c>
      <c r="L223" s="1180">
        <v>33.5</v>
      </c>
    </row>
    <row r="224" spans="1:12" ht="14.25" customHeight="1" x14ac:dyDescent="0.25">
      <c r="A224" s="1589"/>
      <c r="B224" s="1591"/>
      <c r="C224" s="1593"/>
      <c r="D224" s="1595"/>
      <c r="E224" s="1597"/>
      <c r="F224" s="1607"/>
      <c r="G224" s="1680"/>
      <c r="H224" s="1668"/>
      <c r="I224" s="1192" t="s">
        <v>87</v>
      </c>
      <c r="J224" s="443">
        <f>18.6+7.1</f>
        <v>25.700000000000003</v>
      </c>
      <c r="K224" s="1188">
        <v>18.600000000000001</v>
      </c>
      <c r="L224" s="1182">
        <v>18.600000000000001</v>
      </c>
    </row>
    <row r="225" spans="1:12" ht="14.25" customHeight="1" x14ac:dyDescent="0.25">
      <c r="A225" s="1589"/>
      <c r="B225" s="1591"/>
      <c r="C225" s="1593"/>
      <c r="D225" s="1595"/>
      <c r="E225" s="1597"/>
      <c r="F225" s="1605"/>
      <c r="G225" s="1680"/>
      <c r="H225" s="1668"/>
      <c r="I225" s="1190" t="s">
        <v>30</v>
      </c>
      <c r="J225" s="1098">
        <v>5.9</v>
      </c>
      <c r="K225" s="1186">
        <v>0</v>
      </c>
      <c r="L225" s="1181">
        <v>0</v>
      </c>
    </row>
    <row r="226" spans="1:12" ht="18.75" customHeight="1" x14ac:dyDescent="0.25">
      <c r="A226" s="1589"/>
      <c r="B226" s="1591"/>
      <c r="C226" s="1593"/>
      <c r="D226" s="1595"/>
      <c r="E226" s="1597"/>
      <c r="F226" s="1604" t="s">
        <v>137</v>
      </c>
      <c r="G226" s="1680"/>
      <c r="H226" s="1668"/>
      <c r="I226" s="1191" t="s">
        <v>23</v>
      </c>
      <c r="J226" s="1197">
        <v>18.899999999999999</v>
      </c>
      <c r="K226" s="1187">
        <v>18.899999999999999</v>
      </c>
      <c r="L226" s="1180">
        <v>18.899999999999999</v>
      </c>
    </row>
    <row r="227" spans="1:12" ht="18.75" customHeight="1" x14ac:dyDescent="0.25">
      <c r="A227" s="1589"/>
      <c r="B227" s="1591"/>
      <c r="C227" s="1593"/>
      <c r="D227" s="1595"/>
      <c r="E227" s="1597"/>
      <c r="F227" s="1605"/>
      <c r="G227" s="1680"/>
      <c r="H227" s="1668"/>
      <c r="I227" s="1190" t="s">
        <v>30</v>
      </c>
      <c r="J227" s="1098">
        <v>0.9</v>
      </c>
      <c r="K227" s="1186">
        <v>0</v>
      </c>
      <c r="L227" s="1181">
        <v>0</v>
      </c>
    </row>
    <row r="228" spans="1:12" ht="14.25" customHeight="1" x14ac:dyDescent="0.25">
      <c r="A228" s="1589"/>
      <c r="B228" s="1591"/>
      <c r="C228" s="1593"/>
      <c r="D228" s="1595"/>
      <c r="E228" s="1597"/>
      <c r="F228" s="1604" t="s">
        <v>138</v>
      </c>
      <c r="G228" s="1680"/>
      <c r="H228" s="1668"/>
      <c r="I228" s="1191" t="s">
        <v>23</v>
      </c>
      <c r="J228" s="1197">
        <f>17+10+25+3.5</f>
        <v>55.5</v>
      </c>
      <c r="K228" s="1187">
        <v>17</v>
      </c>
      <c r="L228" s="1180">
        <v>17</v>
      </c>
    </row>
    <row r="229" spans="1:12" ht="14.25" customHeight="1" x14ac:dyDescent="0.25">
      <c r="A229" s="1589"/>
      <c r="B229" s="1591"/>
      <c r="C229" s="1593"/>
      <c r="D229" s="1595"/>
      <c r="E229" s="1597"/>
      <c r="F229" s="1605"/>
      <c r="G229" s="1680"/>
      <c r="H229" s="1668"/>
      <c r="I229" s="1190" t="s">
        <v>30</v>
      </c>
      <c r="J229" s="1098">
        <v>0.3</v>
      </c>
      <c r="K229" s="1186">
        <v>0</v>
      </c>
      <c r="L229" s="1181">
        <v>0</v>
      </c>
    </row>
    <row r="230" spans="1:12" ht="15" customHeight="1" x14ac:dyDescent="0.25">
      <c r="A230" s="1589"/>
      <c r="B230" s="1591"/>
      <c r="C230" s="1593"/>
      <c r="D230" s="1595"/>
      <c r="E230" s="1597"/>
      <c r="F230" s="1604" t="s">
        <v>139</v>
      </c>
      <c r="G230" s="1680"/>
      <c r="H230" s="1668"/>
      <c r="I230" s="1191" t="s">
        <v>23</v>
      </c>
      <c r="J230" s="1197">
        <v>14.7</v>
      </c>
      <c r="K230" s="1187">
        <v>14.7</v>
      </c>
      <c r="L230" s="1180">
        <v>14.7</v>
      </c>
    </row>
    <row r="231" spans="1:12" ht="15" customHeight="1" x14ac:dyDescent="0.25">
      <c r="A231" s="1589"/>
      <c r="B231" s="1591"/>
      <c r="C231" s="1593"/>
      <c r="D231" s="1595"/>
      <c r="E231" s="1597"/>
      <c r="F231" s="1605"/>
      <c r="G231" s="1680"/>
      <c r="H231" s="1668"/>
      <c r="I231" s="1190" t="s">
        <v>30</v>
      </c>
      <c r="J231" s="1098">
        <v>1</v>
      </c>
      <c r="K231" s="1186">
        <v>0</v>
      </c>
      <c r="L231" s="1181">
        <v>0</v>
      </c>
    </row>
    <row r="232" spans="1:12" ht="16.5" customHeight="1" x14ac:dyDescent="0.25">
      <c r="A232" s="1589"/>
      <c r="B232" s="1591"/>
      <c r="C232" s="1593"/>
      <c r="D232" s="1595"/>
      <c r="E232" s="1597"/>
      <c r="F232" s="1598" t="s">
        <v>140</v>
      </c>
      <c r="G232" s="1680"/>
      <c r="H232" s="1668"/>
      <c r="I232" s="1193" t="s">
        <v>23</v>
      </c>
      <c r="J232" s="1020">
        <f>21.5+1.2</f>
        <v>22.7</v>
      </c>
      <c r="K232" s="1012">
        <v>21.5</v>
      </c>
      <c r="L232" s="1183">
        <v>21.5</v>
      </c>
    </row>
    <row r="233" spans="1:12" ht="16.5" customHeight="1" x14ac:dyDescent="0.25">
      <c r="A233" s="1589"/>
      <c r="B233" s="1591"/>
      <c r="C233" s="1593"/>
      <c r="D233" s="1595"/>
      <c r="E233" s="1597"/>
      <c r="F233" s="1599"/>
      <c r="G233" s="1680"/>
      <c r="H233" s="1668"/>
      <c r="I233" s="1194" t="s">
        <v>30</v>
      </c>
      <c r="J233" s="1021">
        <v>0.1</v>
      </c>
      <c r="K233" s="1014">
        <v>0</v>
      </c>
      <c r="L233" s="1184">
        <v>0</v>
      </c>
    </row>
    <row r="234" spans="1:12" ht="18.75" customHeight="1" x14ac:dyDescent="0.25">
      <c r="A234" s="1589"/>
      <c r="B234" s="1591"/>
      <c r="C234" s="1593"/>
      <c r="D234" s="1595"/>
      <c r="E234" s="1597"/>
      <c r="F234" s="1600"/>
      <c r="G234" s="1587"/>
      <c r="H234" s="1668"/>
      <c r="I234" s="1195" t="s">
        <v>24</v>
      </c>
      <c r="J234" s="546">
        <f>SUM(J211:J233)</f>
        <v>347.90000000000003</v>
      </c>
      <c r="K234" s="281">
        <f t="shared" ref="K234:L234" si="18">SUM(K211:K233)</f>
        <v>318.5</v>
      </c>
      <c r="L234" s="1170">
        <f t="shared" si="18"/>
        <v>318.5</v>
      </c>
    </row>
    <row r="235" spans="1:12" ht="15.75" customHeight="1" x14ac:dyDescent="0.25">
      <c r="A235" s="87" t="s">
        <v>31</v>
      </c>
      <c r="B235" s="110" t="s">
        <v>15</v>
      </c>
      <c r="C235" s="99"/>
      <c r="D235" s="89"/>
      <c r="E235" s="89"/>
      <c r="F235" s="111"/>
      <c r="G235" s="111"/>
      <c r="H235" s="89"/>
      <c r="I235" s="103" t="s">
        <v>80</v>
      </c>
      <c r="J235" s="51">
        <f>J234</f>
        <v>347.90000000000003</v>
      </c>
      <c r="K235" s="51">
        <f t="shared" ref="K235:L236" si="19">K234</f>
        <v>318.5</v>
      </c>
      <c r="L235" s="112">
        <f t="shared" si="19"/>
        <v>318.5</v>
      </c>
    </row>
    <row r="236" spans="1:12" ht="15.75" customHeight="1" x14ac:dyDescent="0.25">
      <c r="A236" s="87" t="s">
        <v>31</v>
      </c>
      <c r="B236" s="63"/>
      <c r="C236" s="64"/>
      <c r="D236" s="64"/>
      <c r="E236" s="64"/>
      <c r="F236" s="64"/>
      <c r="G236" s="64"/>
      <c r="H236" s="64"/>
      <c r="I236" s="65" t="s">
        <v>83</v>
      </c>
      <c r="J236" s="98">
        <f>J235</f>
        <v>347.90000000000003</v>
      </c>
      <c r="K236" s="98">
        <f t="shared" si="19"/>
        <v>318.5</v>
      </c>
      <c r="L236" s="98">
        <f t="shared" si="19"/>
        <v>318.5</v>
      </c>
    </row>
    <row r="237" spans="1:12" ht="12" x14ac:dyDescent="0.25">
      <c r="A237" s="113" t="s">
        <v>15</v>
      </c>
      <c r="B237" s="1654" t="s">
        <v>141</v>
      </c>
      <c r="C237" s="1654"/>
      <c r="D237" s="1654"/>
      <c r="E237" s="1654"/>
      <c r="F237" s="1654"/>
      <c r="G237" s="1654"/>
      <c r="H237" s="1654"/>
      <c r="I237" s="1654"/>
      <c r="J237" s="114">
        <f>J158+J194+J208+J236</f>
        <v>21211.61</v>
      </c>
      <c r="K237" s="114">
        <f>K158+K194+K208+K236</f>
        <v>19807.8</v>
      </c>
      <c r="L237" s="115">
        <f>L158+L194+L208+L236</f>
        <v>19650.2</v>
      </c>
    </row>
    <row r="238" spans="1:12" ht="12" x14ac:dyDescent="0.25">
      <c r="A238" s="116" t="s">
        <v>142</v>
      </c>
      <c r="B238" s="117"/>
      <c r="C238" s="117"/>
      <c r="D238" s="117"/>
      <c r="E238" s="117"/>
      <c r="F238" s="117"/>
      <c r="G238" s="117"/>
      <c r="H238" s="117"/>
      <c r="I238" s="117"/>
    </row>
    <row r="239" spans="1:12" ht="12" x14ac:dyDescent="0.25">
      <c r="A239" s="118"/>
      <c r="B239" s="117"/>
      <c r="C239" s="117"/>
      <c r="D239" s="1661" t="s">
        <v>143</v>
      </c>
      <c r="E239" s="1661"/>
      <c r="F239" s="1661"/>
      <c r="G239" s="119"/>
      <c r="H239" s="119"/>
    </row>
    <row r="240" spans="1:12" ht="12" x14ac:dyDescent="0.25">
      <c r="A240" s="120"/>
      <c r="B240" s="120"/>
      <c r="C240" s="121"/>
      <c r="D240" s="122"/>
      <c r="E240" s="123"/>
      <c r="F240" s="123"/>
      <c r="G240" s="119"/>
      <c r="H240" s="119"/>
    </row>
    <row r="241" spans="4:12" ht="22.8" x14ac:dyDescent="0.25">
      <c r="D241" s="1649" t="s">
        <v>144</v>
      </c>
      <c r="E241" s="1650"/>
      <c r="F241" s="1650"/>
      <c r="G241" s="1650"/>
      <c r="H241" s="1650"/>
      <c r="I241" s="1650"/>
      <c r="J241" s="124" t="s">
        <v>10</v>
      </c>
      <c r="K241" s="125" t="s">
        <v>11</v>
      </c>
      <c r="L241" s="126" t="s">
        <v>12</v>
      </c>
    </row>
    <row r="242" spans="4:12" ht="12" x14ac:dyDescent="0.25">
      <c r="D242" s="1659" t="s">
        <v>145</v>
      </c>
      <c r="E242" s="1660"/>
      <c r="F242" s="1660"/>
      <c r="G242" s="1660"/>
      <c r="H242" s="1660"/>
      <c r="I242" s="1660"/>
      <c r="J242" s="127"/>
      <c r="K242" s="128"/>
      <c r="L242" s="128"/>
    </row>
    <row r="243" spans="4:12" ht="12" x14ac:dyDescent="0.25">
      <c r="D243" s="1632" t="s">
        <v>146</v>
      </c>
      <c r="E243" s="1633"/>
      <c r="F243" s="1633"/>
      <c r="G243" s="1633"/>
      <c r="H243" s="1633"/>
      <c r="I243" s="1633"/>
      <c r="J243" s="129">
        <f>J244+J250+J251</f>
        <v>21011.610000000011</v>
      </c>
      <c r="K243" s="129">
        <f t="shared" ref="K243:L243" si="20">K244+K250+K251</f>
        <v>19807.800000000003</v>
      </c>
      <c r="L243" s="129">
        <f t="shared" si="20"/>
        <v>19650.200000000004</v>
      </c>
    </row>
    <row r="244" spans="4:12" ht="12" x14ac:dyDescent="0.25">
      <c r="D244" s="1645" t="s">
        <v>147</v>
      </c>
      <c r="E244" s="1646"/>
      <c r="F244" s="1646"/>
      <c r="G244" s="1646"/>
      <c r="H244" s="1646"/>
      <c r="I244" s="1646"/>
      <c r="J244" s="130">
        <f>SUM(J245:J249)</f>
        <v>20732.610000000011</v>
      </c>
      <c r="K244" s="130">
        <f t="shared" ref="K244:L244" si="21">SUM(K245:K249)</f>
        <v>19807.800000000003</v>
      </c>
      <c r="L244" s="130">
        <f t="shared" si="21"/>
        <v>19650.200000000004</v>
      </c>
    </row>
    <row r="245" spans="4:12" ht="12" x14ac:dyDescent="0.25">
      <c r="D245" s="1651" t="s">
        <v>148</v>
      </c>
      <c r="E245" s="1652"/>
      <c r="F245" s="1652"/>
      <c r="G245" s="1652"/>
      <c r="H245" s="1652"/>
      <c r="I245" s="1653"/>
      <c r="J245" s="131">
        <f>SUMIF($I13:$I238,"SBN",J13:J238)</f>
        <v>18637.910000000011</v>
      </c>
      <c r="K245" s="131">
        <f>SUMIF($I13:$I238,"SBN",K13:K238)</f>
        <v>17716.2</v>
      </c>
      <c r="L245" s="131">
        <f>SUMIF($I13:$I238,"SBN",L13:L238)</f>
        <v>17558.600000000002</v>
      </c>
    </row>
    <row r="246" spans="4:12" ht="12" x14ac:dyDescent="0.25">
      <c r="D246" s="1635" t="s">
        <v>149</v>
      </c>
      <c r="E246" s="1636"/>
      <c r="F246" s="1636"/>
      <c r="G246" s="1636"/>
      <c r="H246" s="1636"/>
      <c r="I246" s="1637"/>
      <c r="J246" s="131">
        <f>SUMIF($I13:$I238,"VBD",J13:J238)</f>
        <v>1342.7000000000003</v>
      </c>
      <c r="K246" s="131">
        <f>SUMIF($I13:$I238,"VBD",K13:K238)</f>
        <v>1306.3999999999999</v>
      </c>
      <c r="L246" s="131">
        <f>SUMIF($I13:$I238,"VBD",L13:L238)</f>
        <v>1306.3999999999999</v>
      </c>
    </row>
    <row r="247" spans="4:12" ht="12" x14ac:dyDescent="0.25">
      <c r="D247" s="1635" t="s">
        <v>150</v>
      </c>
      <c r="E247" s="1636"/>
      <c r="F247" s="1636"/>
      <c r="G247" s="1636"/>
      <c r="H247" s="1636"/>
      <c r="I247" s="1637"/>
      <c r="J247" s="131">
        <f>SUMIF($I13:$I238,"PĮ",J13:J238)</f>
        <v>751.99999999999989</v>
      </c>
      <c r="K247" s="131">
        <f>SUMIF($I13:$I238,"PĮ",K13:K238)</f>
        <v>785.20000000000016</v>
      </c>
      <c r="L247" s="131">
        <f>SUMIF($I13:$I238,"PĮ",L13:L238)</f>
        <v>785.20000000000016</v>
      </c>
    </row>
    <row r="248" spans="4:12" ht="12" x14ac:dyDescent="0.25">
      <c r="D248" s="1635" t="s">
        <v>151</v>
      </c>
      <c r="E248" s="1636"/>
      <c r="F248" s="1636"/>
      <c r="G248" s="1636"/>
      <c r="H248" s="1636"/>
      <c r="I248" s="1637"/>
      <c r="J248" s="131">
        <f>SUMIF($I13:$I238,"TPP",J13:J238)</f>
        <v>0</v>
      </c>
      <c r="K248" s="131">
        <f>SUMIF($I13:$I238,"TPP",K13:K238)</f>
        <v>0</v>
      </c>
      <c r="L248" s="131">
        <f>SUMIF($I13:$I238,"TPP",L13:L238)</f>
        <v>0</v>
      </c>
    </row>
    <row r="249" spans="4:12" ht="12" x14ac:dyDescent="0.25">
      <c r="D249" s="1635" t="s">
        <v>152</v>
      </c>
      <c r="E249" s="1636"/>
      <c r="F249" s="1636"/>
      <c r="G249" s="1636"/>
      <c r="H249" s="1636"/>
      <c r="I249" s="1637"/>
      <c r="J249" s="131">
        <f>SUMIF($I13:$I238,"ES",J13:J238)</f>
        <v>0</v>
      </c>
      <c r="K249" s="131">
        <f>SUMIF($I13:$I238,"ES",K13:K238)</f>
        <v>0</v>
      </c>
      <c r="L249" s="131">
        <f>SUMIF($I13:$I238,"ES",L13:L238)</f>
        <v>0</v>
      </c>
    </row>
    <row r="250" spans="4:12" ht="12" x14ac:dyDescent="0.25">
      <c r="D250" s="1635" t="s">
        <v>153</v>
      </c>
      <c r="E250" s="1636"/>
      <c r="F250" s="1636"/>
      <c r="G250" s="1636"/>
      <c r="H250" s="1636"/>
      <c r="I250" s="1637"/>
      <c r="J250" s="131">
        <f>SUMIF($I13:$I238,"SL",J13:J238)</f>
        <v>0</v>
      </c>
      <c r="K250" s="131">
        <f>SUMIF($I13:$I238,"SL",K13:K238)</f>
        <v>0</v>
      </c>
      <c r="L250" s="131">
        <f>SUMIF($I13:$I238,"SL",L13:L238)</f>
        <v>0</v>
      </c>
    </row>
    <row r="251" spans="4:12" ht="12" x14ac:dyDescent="0.25">
      <c r="D251" s="1635" t="s">
        <v>154</v>
      </c>
      <c r="E251" s="1636"/>
      <c r="F251" s="1636"/>
      <c r="G251" s="1636"/>
      <c r="H251" s="1636"/>
      <c r="I251" s="1637"/>
      <c r="J251" s="132">
        <f>SUMIF($I13:$I238,"AML",J13:J238)</f>
        <v>278.99999999999994</v>
      </c>
      <c r="K251" s="132">
        <f>SUMIF($I13:$I238,"AML",K13:K238)</f>
        <v>0</v>
      </c>
      <c r="L251" s="132">
        <f>SUMIF($I13:$I238,"AML",L13:L238)</f>
        <v>0</v>
      </c>
    </row>
    <row r="252" spans="4:12" ht="12" x14ac:dyDescent="0.25">
      <c r="D252" s="1632" t="s">
        <v>155</v>
      </c>
      <c r="E252" s="1633"/>
      <c r="F252" s="1633"/>
      <c r="G252" s="1633"/>
      <c r="H252" s="1633"/>
      <c r="I252" s="1634"/>
      <c r="J252" s="129">
        <f>J253</f>
        <v>200</v>
      </c>
      <c r="K252" s="133"/>
      <c r="L252" s="134"/>
    </row>
    <row r="253" spans="4:12" ht="26.25" customHeight="1" x14ac:dyDescent="0.25">
      <c r="D253" s="1629" t="s">
        <v>156</v>
      </c>
      <c r="E253" s="1630"/>
      <c r="F253" s="1630"/>
      <c r="G253" s="1630"/>
      <c r="H253" s="1630"/>
      <c r="I253" s="1631"/>
      <c r="J253" s="135">
        <f>J201</f>
        <v>200</v>
      </c>
      <c r="K253" s="136">
        <v>0</v>
      </c>
      <c r="L253" s="137">
        <v>0</v>
      </c>
    </row>
    <row r="254" spans="4:12" ht="15" customHeight="1" x14ac:dyDescent="0.25">
      <c r="D254" s="1632" t="s">
        <v>157</v>
      </c>
      <c r="E254" s="1633"/>
      <c r="F254" s="1633"/>
      <c r="G254" s="1633"/>
      <c r="H254" s="1633"/>
      <c r="I254" s="1634"/>
      <c r="J254" s="129">
        <f>J243+J252</f>
        <v>21211.610000000011</v>
      </c>
      <c r="K254" s="129">
        <f t="shared" ref="K254:L254" si="22">K243+K252</f>
        <v>19807.800000000003</v>
      </c>
      <c r="L254" s="129">
        <f t="shared" si="22"/>
        <v>19650.200000000004</v>
      </c>
    </row>
    <row r="255" spans="4:12" ht="12" x14ac:dyDescent="0.25">
      <c r="D255" s="1635" t="s">
        <v>158</v>
      </c>
      <c r="E255" s="1636"/>
      <c r="F255" s="1636"/>
      <c r="G255" s="1636"/>
      <c r="H255" s="1636"/>
      <c r="I255" s="1637"/>
      <c r="J255" s="138">
        <v>0</v>
      </c>
      <c r="K255" s="139">
        <v>0</v>
      </c>
      <c r="L255" s="140">
        <v>0</v>
      </c>
    </row>
    <row r="256" spans="4:12" ht="12" x14ac:dyDescent="0.25">
      <c r="D256" s="1626" t="s">
        <v>159</v>
      </c>
      <c r="E256" s="1627"/>
      <c r="F256" s="1627"/>
      <c r="G256" s="1627"/>
      <c r="H256" s="1627"/>
      <c r="I256" s="1628"/>
      <c r="J256" s="831">
        <f>J254</f>
        <v>21211.610000000011</v>
      </c>
      <c r="K256" s="141">
        <f t="shared" ref="K256:L256" si="23">K254</f>
        <v>19807.800000000003</v>
      </c>
      <c r="L256" s="141">
        <f t="shared" si="23"/>
        <v>19650.200000000004</v>
      </c>
    </row>
    <row r="257" spans="5:5" ht="12" x14ac:dyDescent="0.25">
      <c r="E257" s="142"/>
    </row>
    <row r="258" spans="5:5" ht="12" x14ac:dyDescent="0.25">
      <c r="E258" s="142"/>
    </row>
    <row r="259" spans="5:5" ht="12" x14ac:dyDescent="0.25">
      <c r="E259" s="142"/>
    </row>
  </sheetData>
  <mergeCells count="308">
    <mergeCell ref="I186:I187"/>
    <mergeCell ref="J186:J187"/>
    <mergeCell ref="K186:K187"/>
    <mergeCell ref="L186:L187"/>
    <mergeCell ref="H150:H152"/>
    <mergeCell ref="F141:F142"/>
    <mergeCell ref="F138:F140"/>
    <mergeCell ref="F123:F125"/>
    <mergeCell ref="F126:F128"/>
    <mergeCell ref="F129:F131"/>
    <mergeCell ref="F132:F134"/>
    <mergeCell ref="F135:F137"/>
    <mergeCell ref="G150:G152"/>
    <mergeCell ref="G161:G162"/>
    <mergeCell ref="F163:F164"/>
    <mergeCell ref="G163:G164"/>
    <mergeCell ref="C160:L160"/>
    <mergeCell ref="E155:E156"/>
    <mergeCell ref="E169:E170"/>
    <mergeCell ref="E171:E172"/>
    <mergeCell ref="D169:D170"/>
    <mergeCell ref="H171:H172"/>
    <mergeCell ref="G175:G177"/>
    <mergeCell ref="D175:D177"/>
    <mergeCell ref="A20:A22"/>
    <mergeCell ref="B20:B22"/>
    <mergeCell ref="F23:F24"/>
    <mergeCell ref="G23:G24"/>
    <mergeCell ref="G173:G174"/>
    <mergeCell ref="C157:I157"/>
    <mergeCell ref="F171:F172"/>
    <mergeCell ref="G165:G166"/>
    <mergeCell ref="A161:A162"/>
    <mergeCell ref="C161:C162"/>
    <mergeCell ref="A169:A170"/>
    <mergeCell ref="F165:F166"/>
    <mergeCell ref="H165:H166"/>
    <mergeCell ref="E165:E166"/>
    <mergeCell ref="H161:H162"/>
    <mergeCell ref="E167:E168"/>
    <mergeCell ref="F167:F168"/>
    <mergeCell ref="H167:H168"/>
    <mergeCell ref="B161:B162"/>
    <mergeCell ref="D23:D24"/>
    <mergeCell ref="C23:C24"/>
    <mergeCell ref="B25:B59"/>
    <mergeCell ref="G60:G145"/>
    <mergeCell ref="F89:F91"/>
    <mergeCell ref="A184:A185"/>
    <mergeCell ref="H186:H188"/>
    <mergeCell ref="H163:H164"/>
    <mergeCell ref="C169:C170"/>
    <mergeCell ref="A167:A168"/>
    <mergeCell ref="A155:A156"/>
    <mergeCell ref="B155:B156"/>
    <mergeCell ref="D167:D168"/>
    <mergeCell ref="C155:C156"/>
    <mergeCell ref="D165:D166"/>
    <mergeCell ref="A163:A164"/>
    <mergeCell ref="C163:C164"/>
    <mergeCell ref="B163:B164"/>
    <mergeCell ref="D161:D162"/>
    <mergeCell ref="A165:A166"/>
    <mergeCell ref="B165:B166"/>
    <mergeCell ref="C165:C166"/>
    <mergeCell ref="D163:D164"/>
    <mergeCell ref="G171:G172"/>
    <mergeCell ref="A173:A174"/>
    <mergeCell ref="B173:B174"/>
    <mergeCell ref="A171:A172"/>
    <mergeCell ref="B171:B172"/>
    <mergeCell ref="C171:C172"/>
    <mergeCell ref="M13:O13"/>
    <mergeCell ref="H20:H22"/>
    <mergeCell ref="E20:E22"/>
    <mergeCell ref="G20:G22"/>
    <mergeCell ref="A25:A59"/>
    <mergeCell ref="H146:H147"/>
    <mergeCell ref="E146:E147"/>
    <mergeCell ref="B16:B17"/>
    <mergeCell ref="D146:D147"/>
    <mergeCell ref="A23:A24"/>
    <mergeCell ref="A60:A145"/>
    <mergeCell ref="G146:G147"/>
    <mergeCell ref="G18:G19"/>
    <mergeCell ref="E23:E24"/>
    <mergeCell ref="H23:H24"/>
    <mergeCell ref="E60:E145"/>
    <mergeCell ref="B23:B24"/>
    <mergeCell ref="E57:E59"/>
    <mergeCell ref="F143:F145"/>
    <mergeCell ref="C25:C59"/>
    <mergeCell ref="B60:B145"/>
    <mergeCell ref="G25:G59"/>
    <mergeCell ref="F74:F76"/>
    <mergeCell ref="F77:F79"/>
    <mergeCell ref="C20:C22"/>
    <mergeCell ref="D20:D22"/>
    <mergeCell ref="H18:H19"/>
    <mergeCell ref="B8:K8"/>
    <mergeCell ref="H10:H12"/>
    <mergeCell ref="H16:H17"/>
    <mergeCell ref="J11:J12"/>
    <mergeCell ref="F20:F22"/>
    <mergeCell ref="I10:I12"/>
    <mergeCell ref="G10:G12"/>
    <mergeCell ref="F10:F12"/>
    <mergeCell ref="K11:K12"/>
    <mergeCell ref="F16:F17"/>
    <mergeCell ref="G16:G17"/>
    <mergeCell ref="B10:B12"/>
    <mergeCell ref="E16:E17"/>
    <mergeCell ref="D10:D12"/>
    <mergeCell ref="C10:C12"/>
    <mergeCell ref="C16:C17"/>
    <mergeCell ref="C173:C174"/>
    <mergeCell ref="D173:D174"/>
    <mergeCell ref="E173:E174"/>
    <mergeCell ref="F44:F46"/>
    <mergeCell ref="F47:F48"/>
    <mergeCell ref="F65:F67"/>
    <mergeCell ref="F68:F70"/>
    <mergeCell ref="F71:F73"/>
    <mergeCell ref="E161:E162"/>
    <mergeCell ref="E163:E164"/>
    <mergeCell ref="F60:F61"/>
    <mergeCell ref="F63:F64"/>
    <mergeCell ref="C150:C152"/>
    <mergeCell ref="D150:D152"/>
    <mergeCell ref="E150:E152"/>
    <mergeCell ref="F150:F152"/>
    <mergeCell ref="F107:F109"/>
    <mergeCell ref="F112:F114"/>
    <mergeCell ref="F115:F117"/>
    <mergeCell ref="F118:F120"/>
    <mergeCell ref="F110:F111"/>
    <mergeCell ref="F121:F122"/>
    <mergeCell ref="F80:F82"/>
    <mergeCell ref="F83:F85"/>
    <mergeCell ref="B167:B168"/>
    <mergeCell ref="C167:C168"/>
    <mergeCell ref="B169:B170"/>
    <mergeCell ref="F161:F162"/>
    <mergeCell ref="G199:G200"/>
    <mergeCell ref="E199:E200"/>
    <mergeCell ref="B184:B185"/>
    <mergeCell ref="A178:A179"/>
    <mergeCell ref="B178:B179"/>
    <mergeCell ref="C178:C179"/>
    <mergeCell ref="A175:A177"/>
    <mergeCell ref="A182:A183"/>
    <mergeCell ref="B182:B183"/>
    <mergeCell ref="C182:C183"/>
    <mergeCell ref="A180:A181"/>
    <mergeCell ref="B180:B181"/>
    <mergeCell ref="C180:C181"/>
    <mergeCell ref="B175:B177"/>
    <mergeCell ref="C175:C177"/>
    <mergeCell ref="A186:A188"/>
    <mergeCell ref="A197:A198"/>
    <mergeCell ref="D191:D192"/>
    <mergeCell ref="A191:A192"/>
    <mergeCell ref="B191:B192"/>
    <mergeCell ref="C184:C185"/>
    <mergeCell ref="H199:H200"/>
    <mergeCell ref="H175:H177"/>
    <mergeCell ref="H211:H234"/>
    <mergeCell ref="F180:F181"/>
    <mergeCell ref="G180:G181"/>
    <mergeCell ref="D182:D183"/>
    <mergeCell ref="E182:E183"/>
    <mergeCell ref="F182:F183"/>
    <mergeCell ref="G182:G183"/>
    <mergeCell ref="F184:F185"/>
    <mergeCell ref="G184:G185"/>
    <mergeCell ref="E178:E179"/>
    <mergeCell ref="H178:H179"/>
    <mergeCell ref="G178:G179"/>
    <mergeCell ref="G191:G192"/>
    <mergeCell ref="H191:H192"/>
    <mergeCell ref="H184:H185"/>
    <mergeCell ref="D184:D185"/>
    <mergeCell ref="D178:D179"/>
    <mergeCell ref="D180:D181"/>
    <mergeCell ref="G211:G234"/>
    <mergeCell ref="D186:D188"/>
    <mergeCell ref="E184:E185"/>
    <mergeCell ref="D256:I256"/>
    <mergeCell ref="D253:I253"/>
    <mergeCell ref="D254:I254"/>
    <mergeCell ref="D255:I255"/>
    <mergeCell ref="D251:I251"/>
    <mergeCell ref="D249:I249"/>
    <mergeCell ref="B195:L195"/>
    <mergeCell ref="C196:L196"/>
    <mergeCell ref="D244:I244"/>
    <mergeCell ref="D248:I248"/>
    <mergeCell ref="D197:D198"/>
    <mergeCell ref="D241:I241"/>
    <mergeCell ref="D246:I246"/>
    <mergeCell ref="D247:I247"/>
    <mergeCell ref="D250:I250"/>
    <mergeCell ref="D252:I252"/>
    <mergeCell ref="D245:I245"/>
    <mergeCell ref="B237:I237"/>
    <mergeCell ref="D243:I243"/>
    <mergeCell ref="H197:H198"/>
    <mergeCell ref="B201:B206"/>
    <mergeCell ref="D242:I242"/>
    <mergeCell ref="D239:F239"/>
    <mergeCell ref="B197:B198"/>
    <mergeCell ref="C197:C198"/>
    <mergeCell ref="E197:E198"/>
    <mergeCell ref="F197:F198"/>
    <mergeCell ref="G197:G198"/>
    <mergeCell ref="H201:H206"/>
    <mergeCell ref="C201:C206"/>
    <mergeCell ref="D201:D206"/>
    <mergeCell ref="E201:E206"/>
    <mergeCell ref="F201:F202"/>
    <mergeCell ref="G201:G202"/>
    <mergeCell ref="G205:G206"/>
    <mergeCell ref="G187:G188"/>
    <mergeCell ref="A211:A234"/>
    <mergeCell ref="B211:B234"/>
    <mergeCell ref="C211:C234"/>
    <mergeCell ref="D211:D234"/>
    <mergeCell ref="E211:E234"/>
    <mergeCell ref="F232:F234"/>
    <mergeCell ref="F199:F200"/>
    <mergeCell ref="C199:C200"/>
    <mergeCell ref="D199:D200"/>
    <mergeCell ref="F230:F231"/>
    <mergeCell ref="F211:F212"/>
    <mergeCell ref="F213:F214"/>
    <mergeCell ref="F215:F216"/>
    <mergeCell ref="F217:F218"/>
    <mergeCell ref="F219:F220"/>
    <mergeCell ref="F221:F222"/>
    <mergeCell ref="F223:F225"/>
    <mergeCell ref="F226:F227"/>
    <mergeCell ref="F228:F229"/>
    <mergeCell ref="A201:A206"/>
    <mergeCell ref="C191:C192"/>
    <mergeCell ref="E191:E192"/>
    <mergeCell ref="F191:F192"/>
    <mergeCell ref="E186:E188"/>
    <mergeCell ref="F186:F188"/>
    <mergeCell ref="F178:F179"/>
    <mergeCell ref="E175:E177"/>
    <mergeCell ref="B186:B188"/>
    <mergeCell ref="C186:C188"/>
    <mergeCell ref="D25:D59"/>
    <mergeCell ref="C153:I153"/>
    <mergeCell ref="H155:H156"/>
    <mergeCell ref="D148:D149"/>
    <mergeCell ref="H148:H149"/>
    <mergeCell ref="C60:C145"/>
    <mergeCell ref="D60:D145"/>
    <mergeCell ref="G155:G156"/>
    <mergeCell ref="D155:D156"/>
    <mergeCell ref="C146:C147"/>
    <mergeCell ref="F146:F147"/>
    <mergeCell ref="F58:F59"/>
    <mergeCell ref="E148:E149"/>
    <mergeCell ref="F155:F156"/>
    <mergeCell ref="C148:C149"/>
    <mergeCell ref="G148:G149"/>
    <mergeCell ref="F148:F149"/>
    <mergeCell ref="H25:H59"/>
    <mergeCell ref="I1:L1"/>
    <mergeCell ref="F86:F88"/>
    <mergeCell ref="F92:F94"/>
    <mergeCell ref="F95:F97"/>
    <mergeCell ref="F98:F100"/>
    <mergeCell ref="F101:F103"/>
    <mergeCell ref="F104:F106"/>
    <mergeCell ref="I6:L6"/>
    <mergeCell ref="H60:H145"/>
    <mergeCell ref="I2:L2"/>
    <mergeCell ref="F18:F19"/>
    <mergeCell ref="I3:L3"/>
    <mergeCell ref="I4:L4"/>
    <mergeCell ref="F40:F41"/>
    <mergeCell ref="H182:H183"/>
    <mergeCell ref="F175:F177"/>
    <mergeCell ref="H180:H181"/>
    <mergeCell ref="H169:H170"/>
    <mergeCell ref="F169:F170"/>
    <mergeCell ref="G169:G170"/>
    <mergeCell ref="H173:H174"/>
    <mergeCell ref="G167:G168"/>
    <mergeCell ref="L11:L12"/>
    <mergeCell ref="A13:L13"/>
    <mergeCell ref="B14:L14"/>
    <mergeCell ref="C15:L15"/>
    <mergeCell ref="D171:D172"/>
    <mergeCell ref="E180:E181"/>
    <mergeCell ref="F173:F174"/>
    <mergeCell ref="A10:A12"/>
    <mergeCell ref="A16:A17"/>
    <mergeCell ref="A18:A19"/>
    <mergeCell ref="B18:B19"/>
    <mergeCell ref="C18:C19"/>
    <mergeCell ref="D18:D19"/>
    <mergeCell ref="E18:E19"/>
    <mergeCell ref="D16:D17"/>
    <mergeCell ref="E10:E12"/>
  </mergeCells>
  <pageMargins left="0.70866141732283472" right="0.70866141732283472" top="0.74803149606299213" bottom="0.7480314960629921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67"/>
  <sheetViews>
    <sheetView zoomScale="90" zoomScaleNormal="90" workbookViewId="0">
      <pane ySplit="12" topLeftCell="A139" activePane="bottomLeft" state="frozen"/>
      <selection pane="bottomLeft" activeCell="I6" sqref="I6:L6"/>
    </sheetView>
  </sheetViews>
  <sheetFormatPr defaultColWidth="9.109375" defaultRowHeight="12" x14ac:dyDescent="0.25"/>
  <cols>
    <col min="1" max="1" width="5.6640625" style="19" customWidth="1"/>
    <col min="2" max="3" width="5.33203125" style="19" customWidth="1"/>
    <col min="4" max="4" width="22.109375" style="19" customWidth="1"/>
    <col min="5" max="5" width="6.5546875" style="19" customWidth="1"/>
    <col min="6" max="6" width="24.5546875" style="19" customWidth="1"/>
    <col min="7" max="7" width="19.109375" style="19" customWidth="1"/>
    <col min="8" max="8" width="13.6640625" style="19" customWidth="1"/>
    <col min="9" max="9" width="9.109375" style="19"/>
    <col min="10" max="10" width="9.109375" style="21"/>
    <col min="11" max="11" width="9.33203125" style="19" bestFit="1" customWidth="1"/>
    <col min="12" max="16384" width="9.109375" style="19"/>
  </cols>
  <sheetData>
    <row r="1" spans="1:12" ht="45" customHeight="1" x14ac:dyDescent="0.25">
      <c r="B1" s="197"/>
      <c r="C1" s="197"/>
      <c r="D1" s="197"/>
      <c r="E1" s="197"/>
      <c r="F1" s="197"/>
      <c r="G1" s="197"/>
      <c r="H1" s="197"/>
      <c r="I1" s="1521" t="s">
        <v>502</v>
      </c>
      <c r="J1" s="1521"/>
      <c r="K1" s="1521"/>
      <c r="L1" s="1521"/>
    </row>
    <row r="2" spans="1:12" ht="37.5" hidden="1" customHeight="1" x14ac:dyDescent="0.25">
      <c r="B2" s="1402"/>
      <c r="C2" s="1402"/>
      <c r="D2" s="1402"/>
      <c r="E2" s="1402"/>
      <c r="F2" s="1402"/>
      <c r="G2" s="1402"/>
      <c r="H2" s="1402"/>
      <c r="I2" s="1529" t="s">
        <v>513</v>
      </c>
      <c r="J2" s="1529"/>
      <c r="K2" s="1529"/>
      <c r="L2" s="1529"/>
    </row>
    <row r="3" spans="1:12" ht="37.5" hidden="1" customHeight="1" x14ac:dyDescent="0.25">
      <c r="B3" s="1402"/>
      <c r="C3" s="1402"/>
      <c r="D3" s="1402"/>
      <c r="E3" s="1402"/>
      <c r="F3" s="1402"/>
      <c r="G3" s="1402"/>
      <c r="H3" s="1402"/>
      <c r="I3" s="1529" t="s">
        <v>511</v>
      </c>
      <c r="J3" s="1529"/>
      <c r="K3" s="1529"/>
      <c r="L3" s="1529"/>
    </row>
    <row r="4" spans="1:12" ht="37.5" customHeight="1" x14ac:dyDescent="0.25">
      <c r="B4" s="1402"/>
      <c r="C4" s="1402"/>
      <c r="D4" s="1402"/>
      <c r="E4" s="1402"/>
      <c r="F4" s="1402"/>
      <c r="G4" s="1402"/>
      <c r="H4" s="1402"/>
      <c r="I4" s="1529" t="s">
        <v>517</v>
      </c>
      <c r="J4" s="1529"/>
      <c r="K4" s="1529"/>
      <c r="L4" s="1529"/>
    </row>
    <row r="5" spans="1:12" x14ac:dyDescent="0.25">
      <c r="B5" s="1402"/>
      <c r="C5" s="1402"/>
      <c r="D5" s="1402"/>
      <c r="E5" s="1402"/>
      <c r="F5" s="1402"/>
      <c r="G5" s="1402"/>
      <c r="H5" s="1402"/>
      <c r="I5" s="1402"/>
      <c r="J5" s="1402"/>
      <c r="K5" s="1402"/>
    </row>
    <row r="6" spans="1:12" ht="39.75" customHeight="1" x14ac:dyDescent="0.25">
      <c r="B6" s="1402"/>
      <c r="C6" s="1402"/>
      <c r="D6" s="1402"/>
      <c r="E6" s="1402"/>
      <c r="F6" s="1402"/>
      <c r="G6" s="1402"/>
      <c r="H6" s="1402"/>
      <c r="I6" s="1521" t="s">
        <v>503</v>
      </c>
      <c r="J6" s="1521"/>
      <c r="K6" s="1521"/>
      <c r="L6" s="1521"/>
    </row>
    <row r="7" spans="1:12" x14ac:dyDescent="0.25">
      <c r="B7" s="1402"/>
      <c r="C7" s="1402"/>
      <c r="D7" s="1402"/>
      <c r="E7" s="1402"/>
      <c r="F7" s="1402"/>
      <c r="G7" s="1402"/>
      <c r="H7" s="1402"/>
      <c r="I7" s="1402"/>
      <c r="J7" s="1402"/>
      <c r="K7" s="1402"/>
    </row>
    <row r="8" spans="1:12" ht="28.5" customHeight="1" x14ac:dyDescent="0.25">
      <c r="B8" s="1729" t="s">
        <v>160</v>
      </c>
      <c r="C8" s="1729"/>
      <c r="D8" s="1729"/>
      <c r="E8" s="1729"/>
      <c r="F8" s="1729"/>
      <c r="G8" s="1729"/>
      <c r="H8" s="1729"/>
      <c r="I8" s="1729"/>
      <c r="J8" s="1729"/>
      <c r="K8" s="1729"/>
    </row>
    <row r="9" spans="1:12" x14ac:dyDescent="0.25">
      <c r="B9" s="20"/>
      <c r="C9" s="20"/>
      <c r="D9" s="20"/>
      <c r="E9" s="20"/>
      <c r="F9" s="20"/>
      <c r="G9" s="20"/>
      <c r="H9" s="20"/>
      <c r="I9" s="20"/>
      <c r="J9" s="143"/>
      <c r="K9" s="144"/>
    </row>
    <row r="10" spans="1:12" ht="22.8" x14ac:dyDescent="0.25">
      <c r="A10" s="2076" t="s">
        <v>1</v>
      </c>
      <c r="B10" s="2078" t="s">
        <v>2</v>
      </c>
      <c r="C10" s="2078" t="s">
        <v>3</v>
      </c>
      <c r="D10" s="2080" t="s">
        <v>4</v>
      </c>
      <c r="E10" s="2082" t="s">
        <v>5</v>
      </c>
      <c r="F10" s="2082" t="s">
        <v>6</v>
      </c>
      <c r="G10" s="2082" t="s">
        <v>7</v>
      </c>
      <c r="H10" s="1518" t="s">
        <v>8</v>
      </c>
      <c r="I10" s="2082" t="s">
        <v>9</v>
      </c>
      <c r="J10" s="22" t="s">
        <v>10</v>
      </c>
      <c r="K10" s="23" t="s">
        <v>11</v>
      </c>
      <c r="L10" s="24" t="s">
        <v>12</v>
      </c>
    </row>
    <row r="11" spans="1:12" ht="15" customHeight="1" x14ac:dyDescent="0.25">
      <c r="A11" s="2077"/>
      <c r="B11" s="2079"/>
      <c r="C11" s="2079"/>
      <c r="D11" s="2081"/>
      <c r="E11" s="2083"/>
      <c r="F11" s="2083"/>
      <c r="G11" s="2083"/>
      <c r="H11" s="2084"/>
      <c r="I11" s="2083"/>
      <c r="J11" s="1730" t="s">
        <v>13</v>
      </c>
      <c r="K11" s="1738" t="s">
        <v>13</v>
      </c>
      <c r="L11" s="1483" t="s">
        <v>13</v>
      </c>
    </row>
    <row r="12" spans="1:12" ht="51.75" customHeight="1" x14ac:dyDescent="0.25">
      <c r="A12" s="2077"/>
      <c r="B12" s="2079"/>
      <c r="C12" s="2079"/>
      <c r="D12" s="2081"/>
      <c r="E12" s="2083"/>
      <c r="F12" s="2083"/>
      <c r="G12" s="2083"/>
      <c r="H12" s="2084"/>
      <c r="I12" s="2083"/>
      <c r="J12" s="1730"/>
      <c r="K12" s="1738"/>
      <c r="L12" s="1483"/>
    </row>
    <row r="13" spans="1:12" ht="15.75" customHeight="1" x14ac:dyDescent="0.25">
      <c r="A13" s="145" t="s">
        <v>161</v>
      </c>
      <c r="B13" s="146"/>
      <c r="C13" s="146"/>
      <c r="D13" s="146"/>
      <c r="E13" s="146"/>
      <c r="F13" s="146"/>
      <c r="G13" s="146"/>
      <c r="H13" s="146"/>
      <c r="I13" s="146"/>
      <c r="J13" s="147"/>
      <c r="K13" s="146"/>
      <c r="L13" s="148"/>
    </row>
    <row r="14" spans="1:12" x14ac:dyDescent="0.25">
      <c r="A14" s="76" t="s">
        <v>15</v>
      </c>
      <c r="B14" s="149" t="s">
        <v>162</v>
      </c>
      <c r="C14" s="150"/>
      <c r="D14" s="150"/>
      <c r="E14" s="150"/>
      <c r="F14" s="150"/>
      <c r="G14" s="150"/>
      <c r="H14" s="150"/>
      <c r="I14" s="150"/>
      <c r="J14" s="151"/>
      <c r="K14" s="150"/>
      <c r="L14" s="152"/>
    </row>
    <row r="15" spans="1:12" ht="15.75" customHeight="1" x14ac:dyDescent="0.25">
      <c r="A15" s="153" t="s">
        <v>15</v>
      </c>
      <c r="B15" s="154" t="s">
        <v>15</v>
      </c>
      <c r="C15" s="2093" t="s">
        <v>163</v>
      </c>
      <c r="D15" s="2094"/>
      <c r="E15" s="2094"/>
      <c r="F15" s="2094"/>
      <c r="G15" s="2094"/>
      <c r="H15" s="2094"/>
      <c r="I15" s="2094"/>
      <c r="J15" s="2094"/>
      <c r="K15" s="2094"/>
      <c r="L15" s="2095"/>
    </row>
    <row r="16" spans="1:12" ht="24" customHeight="1" x14ac:dyDescent="0.25">
      <c r="A16" s="2099" t="s">
        <v>15</v>
      </c>
      <c r="B16" s="2122" t="s">
        <v>15</v>
      </c>
      <c r="C16" s="2085" t="s">
        <v>15</v>
      </c>
      <c r="D16" s="2086" t="s">
        <v>164</v>
      </c>
      <c r="E16" s="1873" t="s">
        <v>19</v>
      </c>
      <c r="F16" s="2087" t="s">
        <v>20</v>
      </c>
      <c r="G16" s="2088" t="s">
        <v>112</v>
      </c>
      <c r="H16" s="2072" t="s">
        <v>165</v>
      </c>
      <c r="I16" s="833" t="s">
        <v>23</v>
      </c>
      <c r="J16" s="559">
        <f>58-8-2+1.5-20-5.7-4.6-1.2</f>
        <v>18.000000000000004</v>
      </c>
      <c r="K16" s="559">
        <v>60</v>
      </c>
      <c r="L16" s="559">
        <v>60</v>
      </c>
    </row>
    <row r="17" spans="1:15" ht="24" customHeight="1" thickBot="1" x14ac:dyDescent="0.3">
      <c r="A17" s="2100"/>
      <c r="B17" s="2051"/>
      <c r="C17" s="2085"/>
      <c r="D17" s="2086"/>
      <c r="E17" s="1873"/>
      <c r="F17" s="2087"/>
      <c r="G17" s="2088"/>
      <c r="H17" s="2072"/>
      <c r="I17" s="1450" t="s">
        <v>87</v>
      </c>
      <c r="J17" s="1449">
        <f>0+68-68</f>
        <v>0</v>
      </c>
      <c r="K17" s="1449">
        <v>0</v>
      </c>
      <c r="L17" s="1449">
        <v>0</v>
      </c>
    </row>
    <row r="18" spans="1:15" ht="13.5" customHeight="1" thickBot="1" x14ac:dyDescent="0.3">
      <c r="A18" s="2100"/>
      <c r="B18" s="2051"/>
      <c r="C18" s="2085"/>
      <c r="D18" s="2086"/>
      <c r="E18" s="1873"/>
      <c r="F18" s="2087"/>
      <c r="G18" s="2088"/>
      <c r="H18" s="2072"/>
      <c r="I18" s="560" t="s">
        <v>24</v>
      </c>
      <c r="J18" s="561">
        <f>J16+J17</f>
        <v>18.000000000000004</v>
      </c>
      <c r="K18" s="561">
        <f>SUM(K16:K16)</f>
        <v>60</v>
      </c>
      <c r="L18" s="561">
        <f>SUM(L16:L16)</f>
        <v>60</v>
      </c>
      <c r="O18" s="21"/>
    </row>
    <row r="19" spans="1:15" ht="22.5" customHeight="1" x14ac:dyDescent="0.25">
      <c r="A19" s="2099" t="s">
        <v>15</v>
      </c>
      <c r="B19" s="2122" t="s">
        <v>15</v>
      </c>
      <c r="C19" s="2096" t="s">
        <v>25</v>
      </c>
      <c r="D19" s="2098" t="s">
        <v>166</v>
      </c>
      <c r="E19" s="1973" t="s">
        <v>19</v>
      </c>
      <c r="F19" s="743" t="s">
        <v>20</v>
      </c>
      <c r="G19" s="18" t="s">
        <v>112</v>
      </c>
      <c r="H19" s="2091" t="s">
        <v>22</v>
      </c>
      <c r="I19" s="562" t="s">
        <v>87</v>
      </c>
      <c r="J19" s="832">
        <f>398.8+286.6-2.6-91.1-19.6+73.9+0.5-167.9+5.1</f>
        <v>483.70000000000005</v>
      </c>
      <c r="K19" s="832">
        <f>398.8+286.6</f>
        <v>685.40000000000009</v>
      </c>
      <c r="L19" s="832">
        <f>398.8+286.6</f>
        <v>685.40000000000009</v>
      </c>
      <c r="O19" s="21"/>
    </row>
    <row r="20" spans="1:15" ht="24.75" customHeight="1" x14ac:dyDescent="0.25">
      <c r="A20" s="2100"/>
      <c r="B20" s="2051"/>
      <c r="C20" s="2097"/>
      <c r="D20" s="2098"/>
      <c r="E20" s="1973"/>
      <c r="F20" s="744" t="s">
        <v>70</v>
      </c>
      <c r="G20" s="2089" t="s">
        <v>36</v>
      </c>
      <c r="H20" s="2091"/>
      <c r="I20" s="563" t="s">
        <v>87</v>
      </c>
      <c r="J20" s="556">
        <f>531.6+4.3+0.2-2.5+1+37.6</f>
        <v>572.20000000000005</v>
      </c>
      <c r="K20" s="556">
        <v>531.6</v>
      </c>
      <c r="L20" s="556">
        <v>531.6</v>
      </c>
    </row>
    <row r="21" spans="1:15" ht="25.5" customHeight="1" x14ac:dyDescent="0.25">
      <c r="A21" s="2100"/>
      <c r="B21" s="2051"/>
      <c r="C21" s="2097"/>
      <c r="D21" s="2098"/>
      <c r="E21" s="1973"/>
      <c r="F21" s="746" t="s">
        <v>38</v>
      </c>
      <c r="G21" s="2089"/>
      <c r="H21" s="2091"/>
      <c r="I21" s="563" t="s">
        <v>87</v>
      </c>
      <c r="J21" s="1277">
        <f>532.7+6.5+0.1+28.2+0.6+6.1</f>
        <v>574.20000000000016</v>
      </c>
      <c r="K21" s="1277">
        <v>532.70000000000005</v>
      </c>
      <c r="L21" s="1277">
        <v>532.70000000000005</v>
      </c>
    </row>
    <row r="22" spans="1:15" ht="25.5" customHeight="1" x14ac:dyDescent="0.25">
      <c r="A22" s="2100"/>
      <c r="B22" s="2051"/>
      <c r="C22" s="2097"/>
      <c r="D22" s="2098"/>
      <c r="E22" s="1973"/>
      <c r="F22" s="745" t="s">
        <v>39</v>
      </c>
      <c r="G22" s="2089"/>
      <c r="H22" s="2091"/>
      <c r="I22" s="563" t="s">
        <v>87</v>
      </c>
      <c r="J22" s="1278">
        <f>246.7+2.2-12.1+0.5+13.7</f>
        <v>250.99999999999997</v>
      </c>
      <c r="K22" s="1278">
        <v>246.7</v>
      </c>
      <c r="L22" s="1278">
        <v>246.7</v>
      </c>
    </row>
    <row r="23" spans="1:15" ht="33.75" customHeight="1" x14ac:dyDescent="0.25">
      <c r="A23" s="2100"/>
      <c r="B23" s="2051"/>
      <c r="C23" s="2097"/>
      <c r="D23" s="2098"/>
      <c r="E23" s="1973"/>
      <c r="F23" s="746" t="s">
        <v>40</v>
      </c>
      <c r="G23" s="2089"/>
      <c r="H23" s="2091"/>
      <c r="I23" s="563" t="s">
        <v>87</v>
      </c>
      <c r="J23" s="256">
        <f>186.3+8.8+0.1+4.1+1.6+5.4</f>
        <v>206.3</v>
      </c>
      <c r="K23" s="256">
        <v>186.3</v>
      </c>
      <c r="L23" s="256">
        <v>186.3</v>
      </c>
    </row>
    <row r="24" spans="1:15" ht="27.75" customHeight="1" x14ac:dyDescent="0.25">
      <c r="A24" s="2100"/>
      <c r="B24" s="2051"/>
      <c r="C24" s="2097"/>
      <c r="D24" s="2098"/>
      <c r="E24" s="1973"/>
      <c r="F24" s="746" t="s">
        <v>41</v>
      </c>
      <c r="G24" s="2089"/>
      <c r="H24" s="2091"/>
      <c r="I24" s="563" t="s">
        <v>87</v>
      </c>
      <c r="J24" s="255">
        <f>589.2-2+0.7+17+0.5+10.7</f>
        <v>616.10000000000014</v>
      </c>
      <c r="K24" s="255">
        <v>589.20000000000005</v>
      </c>
      <c r="L24" s="255">
        <v>589.20000000000005</v>
      </c>
    </row>
    <row r="25" spans="1:15" ht="37.5" customHeight="1" x14ac:dyDescent="0.25">
      <c r="A25" s="2100"/>
      <c r="B25" s="2051"/>
      <c r="C25" s="2097"/>
      <c r="D25" s="2098"/>
      <c r="E25" s="1973"/>
      <c r="F25" s="747" t="s">
        <v>42</v>
      </c>
      <c r="G25" s="2089"/>
      <c r="H25" s="2091"/>
      <c r="I25" s="563" t="s">
        <v>87</v>
      </c>
      <c r="J25" s="255">
        <f>633.8-1.9+0.1+17.2+6.7</f>
        <v>655.90000000000009</v>
      </c>
      <c r="K25" s="255">
        <v>633.79999999999995</v>
      </c>
      <c r="L25" s="255">
        <v>633.79999999999995</v>
      </c>
    </row>
    <row r="26" spans="1:15" ht="30" customHeight="1" x14ac:dyDescent="0.25">
      <c r="A26" s="2100"/>
      <c r="B26" s="2051"/>
      <c r="C26" s="2097"/>
      <c r="D26" s="2098"/>
      <c r="E26" s="1973"/>
      <c r="F26" s="746" t="s">
        <v>43</v>
      </c>
      <c r="G26" s="2089"/>
      <c r="H26" s="2091"/>
      <c r="I26" s="563" t="s">
        <v>87</v>
      </c>
      <c r="J26" s="255">
        <f>1430.2+12.2-11.4+5.2+3.1+15.2+59</f>
        <v>1513.5</v>
      </c>
      <c r="K26" s="255">
        <v>1430.2</v>
      </c>
      <c r="L26" s="255">
        <v>1430.2</v>
      </c>
    </row>
    <row r="27" spans="1:15" ht="27.75" customHeight="1" x14ac:dyDescent="0.25">
      <c r="A27" s="2100"/>
      <c r="B27" s="2051"/>
      <c r="C27" s="2097"/>
      <c r="D27" s="2098"/>
      <c r="E27" s="1973"/>
      <c r="F27" s="744" t="s">
        <v>44</v>
      </c>
      <c r="G27" s="2089"/>
      <c r="H27" s="2091"/>
      <c r="I27" s="563" t="s">
        <v>87</v>
      </c>
      <c r="J27" s="255">
        <f>1608.8+4.9-11.4+23.2+2.1+3.9+0.5+13.4</f>
        <v>1645.4</v>
      </c>
      <c r="K27" s="255">
        <v>1608.8</v>
      </c>
      <c r="L27" s="255">
        <v>1608.8</v>
      </c>
    </row>
    <row r="28" spans="1:15" ht="35.25" customHeight="1" x14ac:dyDescent="0.25">
      <c r="A28" s="2100"/>
      <c r="B28" s="2051"/>
      <c r="C28" s="2097"/>
      <c r="D28" s="2098"/>
      <c r="E28" s="1973"/>
      <c r="F28" s="744" t="s">
        <v>45</v>
      </c>
      <c r="G28" s="2089"/>
      <c r="H28" s="2091"/>
      <c r="I28" s="563" t="s">
        <v>87</v>
      </c>
      <c r="J28" s="255">
        <f>1881.8+17.1-13.5+37.8+2.2+59+32.7+1.6-59</f>
        <v>1959.6999999999998</v>
      </c>
      <c r="K28" s="255">
        <v>1881.8</v>
      </c>
      <c r="L28" s="255">
        <v>1881.8</v>
      </c>
    </row>
    <row r="29" spans="1:15" ht="21.75" customHeight="1" x14ac:dyDescent="0.25">
      <c r="A29" s="2100"/>
      <c r="B29" s="2051"/>
      <c r="C29" s="2097"/>
      <c r="D29" s="2098"/>
      <c r="E29" s="1973"/>
      <c r="F29" s="744" t="s">
        <v>46</v>
      </c>
      <c r="G29" s="2089"/>
      <c r="H29" s="2091"/>
      <c r="I29" s="563" t="s">
        <v>87</v>
      </c>
      <c r="J29" s="255">
        <f>739.7+7.1-3.2+9.6+0.3+9.5+1+4.9</f>
        <v>768.9</v>
      </c>
      <c r="K29" s="255">
        <v>739.7</v>
      </c>
      <c r="L29" s="255">
        <v>739.7</v>
      </c>
    </row>
    <row r="30" spans="1:15" ht="27.75" customHeight="1" x14ac:dyDescent="0.25">
      <c r="A30" s="2100"/>
      <c r="B30" s="2051"/>
      <c r="C30" s="2097"/>
      <c r="D30" s="2098"/>
      <c r="E30" s="1973"/>
      <c r="F30" s="746" t="s">
        <v>47</v>
      </c>
      <c r="G30" s="2089"/>
      <c r="H30" s="2091"/>
      <c r="I30" s="563" t="s">
        <v>87</v>
      </c>
      <c r="J30" s="255">
        <f>2979+34-24.9+14+2.3+86.9+8.8+33.7</f>
        <v>3133.8</v>
      </c>
      <c r="K30" s="255">
        <v>2979</v>
      </c>
      <c r="L30" s="255">
        <v>2979</v>
      </c>
    </row>
    <row r="31" spans="1:15" ht="25.5" customHeight="1" x14ac:dyDescent="0.25">
      <c r="A31" s="2100"/>
      <c r="B31" s="2051"/>
      <c r="C31" s="2097"/>
      <c r="D31" s="2098"/>
      <c r="E31" s="1973"/>
      <c r="F31" s="748" t="s">
        <v>48</v>
      </c>
      <c r="G31" s="2089"/>
      <c r="H31" s="2091"/>
      <c r="I31" s="563" t="s">
        <v>87</v>
      </c>
      <c r="J31" s="255">
        <f>819.9-3.5+2.2+0.2+2.7+5.9</f>
        <v>827.40000000000009</v>
      </c>
      <c r="K31" s="255">
        <v>819.9</v>
      </c>
      <c r="L31" s="255">
        <v>819.9</v>
      </c>
    </row>
    <row r="32" spans="1:15" ht="34.5" customHeight="1" x14ac:dyDescent="0.25">
      <c r="A32" s="2100"/>
      <c r="B32" s="2051"/>
      <c r="C32" s="2097"/>
      <c r="D32" s="2098"/>
      <c r="E32" s="1973"/>
      <c r="F32" s="749" t="s">
        <v>49</v>
      </c>
      <c r="G32" s="2089"/>
      <c r="H32" s="2091"/>
      <c r="I32" s="563" t="s">
        <v>87</v>
      </c>
      <c r="J32" s="255">
        <f>677.5-3.1+0.5+17.3+4.2</f>
        <v>696.4</v>
      </c>
      <c r="K32" s="255">
        <v>677.5</v>
      </c>
      <c r="L32" s="255">
        <v>677.5</v>
      </c>
    </row>
    <row r="33" spans="1:12" ht="26.25" customHeight="1" x14ac:dyDescent="0.25">
      <c r="A33" s="2100"/>
      <c r="B33" s="2051"/>
      <c r="C33" s="2097"/>
      <c r="D33" s="2098"/>
      <c r="E33" s="1973"/>
      <c r="F33" s="750" t="s">
        <v>50</v>
      </c>
      <c r="G33" s="2089"/>
      <c r="H33" s="2091"/>
      <c r="I33" s="563" t="s">
        <v>87</v>
      </c>
      <c r="J33" s="852">
        <f>1203.6+2.5-11.4+5.3-13+0.5+3.2</f>
        <v>1190.6999999999998</v>
      </c>
      <c r="K33" s="852">
        <v>1203.5999999999999</v>
      </c>
      <c r="L33" s="852">
        <v>1203.5999999999999</v>
      </c>
    </row>
    <row r="34" spans="1:12" ht="28.5" customHeight="1" x14ac:dyDescent="0.25">
      <c r="A34" s="2100"/>
      <c r="B34" s="2051"/>
      <c r="C34" s="2097"/>
      <c r="D34" s="2098"/>
      <c r="E34" s="1973"/>
      <c r="F34" s="750" t="s">
        <v>51</v>
      </c>
      <c r="G34" s="2089"/>
      <c r="H34" s="2091"/>
      <c r="I34" s="563" t="s">
        <v>87</v>
      </c>
      <c r="J34" s="255">
        <f>764.6+2.4-1.5+17.5+0.5+2</f>
        <v>785.5</v>
      </c>
      <c r="K34" s="255">
        <v>764.6</v>
      </c>
      <c r="L34" s="255">
        <v>764.6</v>
      </c>
    </row>
    <row r="35" spans="1:12" ht="33" customHeight="1" x14ac:dyDescent="0.25">
      <c r="A35" s="2100"/>
      <c r="B35" s="2051"/>
      <c r="C35" s="2097"/>
      <c r="D35" s="2098"/>
      <c r="E35" s="1973"/>
      <c r="F35" s="751" t="s">
        <v>52</v>
      </c>
      <c r="G35" s="2089"/>
      <c r="H35" s="2091"/>
      <c r="I35" s="563" t="s">
        <v>87</v>
      </c>
      <c r="J35" s="255">
        <f>170.8+4.3+8</f>
        <v>183.10000000000002</v>
      </c>
      <c r="K35" s="255">
        <v>170.8</v>
      </c>
      <c r="L35" s="255">
        <v>170.8</v>
      </c>
    </row>
    <row r="36" spans="1:12" ht="22.5" customHeight="1" x14ac:dyDescent="0.25">
      <c r="A36" s="2100"/>
      <c r="B36" s="2051"/>
      <c r="C36" s="2097"/>
      <c r="D36" s="2098"/>
      <c r="E36" s="1973"/>
      <c r="F36" s="751" t="s">
        <v>53</v>
      </c>
      <c r="G36" s="2089"/>
      <c r="H36" s="2091"/>
      <c r="I36" s="563" t="s">
        <v>87</v>
      </c>
      <c r="J36" s="255">
        <f>0+44.3+0.1</f>
        <v>44.4</v>
      </c>
      <c r="K36" s="255">
        <v>0</v>
      </c>
      <c r="L36" s="255">
        <v>0</v>
      </c>
    </row>
    <row r="37" spans="1:12" ht="22.5" customHeight="1" thickBot="1" x14ac:dyDescent="0.3">
      <c r="A37" s="2100"/>
      <c r="B37" s="2051"/>
      <c r="C37" s="2097"/>
      <c r="D37" s="2098"/>
      <c r="E37" s="1973"/>
      <c r="F37" s="2092" t="s">
        <v>55</v>
      </c>
      <c r="G37" s="2089"/>
      <c r="H37" s="2091"/>
      <c r="I37" s="563" t="s">
        <v>87</v>
      </c>
      <c r="J37" s="502">
        <f>0+46.1+0.2</f>
        <v>46.300000000000004</v>
      </c>
      <c r="K37" s="502">
        <v>0</v>
      </c>
      <c r="L37" s="502">
        <v>0</v>
      </c>
    </row>
    <row r="38" spans="1:12" ht="23.25" customHeight="1" thickBot="1" x14ac:dyDescent="0.3">
      <c r="A38" s="2100"/>
      <c r="B38" s="2051"/>
      <c r="C38" s="2097"/>
      <c r="D38" s="2098"/>
      <c r="E38" s="1973"/>
      <c r="F38" s="2092"/>
      <c r="G38" s="2090"/>
      <c r="H38" s="2091"/>
      <c r="I38" s="564" t="s">
        <v>24</v>
      </c>
      <c r="J38" s="565">
        <f>SUM(J19:J37)</f>
        <v>16154.5</v>
      </c>
      <c r="K38" s="565">
        <f t="shared" ref="K38:L38" si="0">SUM(K19:K37)</f>
        <v>15681.6</v>
      </c>
      <c r="L38" s="566">
        <f t="shared" si="0"/>
        <v>15681.6</v>
      </c>
    </row>
    <row r="39" spans="1:12" ht="32.25" customHeight="1" thickBot="1" x14ac:dyDescent="0.3">
      <c r="A39" s="1588" t="s">
        <v>15</v>
      </c>
      <c r="B39" s="1590" t="s">
        <v>15</v>
      </c>
      <c r="C39" s="2055" t="s">
        <v>27</v>
      </c>
      <c r="D39" s="1869" t="s">
        <v>167</v>
      </c>
      <c r="E39" s="1857" t="s">
        <v>19</v>
      </c>
      <c r="F39" s="818" t="s">
        <v>51</v>
      </c>
      <c r="G39" s="1955" t="s">
        <v>36</v>
      </c>
      <c r="H39" s="1941" t="s">
        <v>22</v>
      </c>
      <c r="I39" s="819" t="s">
        <v>87</v>
      </c>
      <c r="J39" s="622">
        <f>422.3+57.1</f>
        <v>479.40000000000003</v>
      </c>
      <c r="K39" s="623">
        <f t="shared" ref="K39:L39" si="1">422.3+57.1</f>
        <v>479.40000000000003</v>
      </c>
      <c r="L39" s="457">
        <f t="shared" si="1"/>
        <v>479.40000000000003</v>
      </c>
    </row>
    <row r="40" spans="1:12" ht="30.75" customHeight="1" x14ac:dyDescent="0.25">
      <c r="A40" s="1588"/>
      <c r="B40" s="1590"/>
      <c r="C40" s="2055"/>
      <c r="D40" s="1921"/>
      <c r="E40" s="1857"/>
      <c r="F40" s="1776" t="s">
        <v>50</v>
      </c>
      <c r="G40" s="1956"/>
      <c r="H40" s="1942"/>
      <c r="I40" s="1279" t="s">
        <v>87</v>
      </c>
      <c r="J40" s="1280">
        <v>22.1</v>
      </c>
      <c r="K40" s="1215">
        <v>22.1</v>
      </c>
      <c r="L40" s="1211">
        <v>22.1</v>
      </c>
    </row>
    <row r="41" spans="1:12" ht="30.75" customHeight="1" x14ac:dyDescent="0.25">
      <c r="A41" s="1914"/>
      <c r="B41" s="1977"/>
      <c r="C41" s="2056"/>
      <c r="D41" s="2063"/>
      <c r="E41" s="1954"/>
      <c r="F41" s="2054"/>
      <c r="G41" s="1957"/>
      <c r="H41" s="1943"/>
      <c r="I41" s="564" t="s">
        <v>24</v>
      </c>
      <c r="J41" s="572">
        <f>SUM(J39:J40)</f>
        <v>501.50000000000006</v>
      </c>
      <c r="K41" s="573">
        <f t="shared" ref="K41:L41" si="2">SUM(K39:K40)</f>
        <v>501.50000000000006</v>
      </c>
      <c r="L41" s="1125">
        <f t="shared" si="2"/>
        <v>501.50000000000006</v>
      </c>
    </row>
    <row r="42" spans="1:12" ht="29.25" customHeight="1" x14ac:dyDescent="0.25">
      <c r="A42" s="1588" t="s">
        <v>15</v>
      </c>
      <c r="B42" s="1590" t="s">
        <v>15</v>
      </c>
      <c r="C42" s="1926" t="s">
        <v>31</v>
      </c>
      <c r="D42" s="1869" t="s">
        <v>168</v>
      </c>
      <c r="E42" s="2060" t="s">
        <v>19</v>
      </c>
      <c r="F42" s="820" t="s">
        <v>20</v>
      </c>
      <c r="G42" s="1961" t="s">
        <v>36</v>
      </c>
      <c r="H42" s="1848" t="s">
        <v>22</v>
      </c>
      <c r="I42" s="642" t="s">
        <v>87</v>
      </c>
      <c r="J42" s="279">
        <v>0</v>
      </c>
      <c r="K42" s="279">
        <v>0</v>
      </c>
      <c r="L42" s="611">
        <v>0</v>
      </c>
    </row>
    <row r="43" spans="1:12" ht="34.5" customHeight="1" x14ac:dyDescent="0.25">
      <c r="A43" s="1589"/>
      <c r="B43" s="1591"/>
      <c r="C43" s="1946"/>
      <c r="D43" s="1870"/>
      <c r="E43" s="1959"/>
      <c r="F43" s="1281" t="s">
        <v>38</v>
      </c>
      <c r="G43" s="1962"/>
      <c r="H43" s="1849"/>
      <c r="I43" s="956" t="s">
        <v>87</v>
      </c>
      <c r="J43" s="1146">
        <v>0</v>
      </c>
      <c r="K43" s="1146">
        <v>0</v>
      </c>
      <c r="L43" s="612">
        <v>0</v>
      </c>
    </row>
    <row r="44" spans="1:12" ht="29.25" customHeight="1" x14ac:dyDescent="0.25">
      <c r="A44" s="1589"/>
      <c r="B44" s="1591"/>
      <c r="C44" s="1946"/>
      <c r="D44" s="1870"/>
      <c r="E44" s="1959"/>
      <c r="F44" s="1282" t="s">
        <v>41</v>
      </c>
      <c r="G44" s="1962"/>
      <c r="H44" s="1849"/>
      <c r="I44" s="956" t="s">
        <v>87</v>
      </c>
      <c r="J44" s="1146">
        <v>0</v>
      </c>
      <c r="K44" s="1146">
        <v>0</v>
      </c>
      <c r="L44" s="612">
        <v>0</v>
      </c>
    </row>
    <row r="45" spans="1:12" ht="29.25" customHeight="1" x14ac:dyDescent="0.25">
      <c r="A45" s="1589"/>
      <c r="B45" s="1591"/>
      <c r="C45" s="1946"/>
      <c r="D45" s="1870"/>
      <c r="E45" s="1959"/>
      <c r="F45" s="1084" t="s">
        <v>44</v>
      </c>
      <c r="G45" s="1962"/>
      <c r="H45" s="1849"/>
      <c r="I45" s="956" t="s">
        <v>87</v>
      </c>
      <c r="J45" s="1146">
        <f>0+2.2</f>
        <v>2.2000000000000002</v>
      </c>
      <c r="K45" s="1146">
        <v>0</v>
      </c>
      <c r="L45" s="612">
        <v>0</v>
      </c>
    </row>
    <row r="46" spans="1:12" ht="38.25" customHeight="1" x14ac:dyDescent="0.25">
      <c r="A46" s="1589"/>
      <c r="B46" s="1591"/>
      <c r="C46" s="1946"/>
      <c r="D46" s="1870"/>
      <c r="E46" s="1959"/>
      <c r="F46" s="1282" t="s">
        <v>45</v>
      </c>
      <c r="G46" s="1962"/>
      <c r="H46" s="1849"/>
      <c r="I46" s="956" t="s">
        <v>87</v>
      </c>
      <c r="J46" s="1146">
        <f>0+3</f>
        <v>3</v>
      </c>
      <c r="K46" s="1146">
        <v>0</v>
      </c>
      <c r="L46" s="612">
        <v>0</v>
      </c>
    </row>
    <row r="47" spans="1:12" ht="38.25" customHeight="1" x14ac:dyDescent="0.25">
      <c r="A47" s="1589"/>
      <c r="B47" s="1591"/>
      <c r="C47" s="1946"/>
      <c r="D47" s="1870"/>
      <c r="E47" s="1959"/>
      <c r="F47" s="1417" t="s">
        <v>47</v>
      </c>
      <c r="G47" s="1962"/>
      <c r="H47" s="1849"/>
      <c r="I47" s="956" t="s">
        <v>87</v>
      </c>
      <c r="J47" s="1146">
        <f>0+2.2</f>
        <v>2.2000000000000002</v>
      </c>
      <c r="K47" s="1146">
        <v>0</v>
      </c>
      <c r="L47" s="612">
        <v>0</v>
      </c>
    </row>
    <row r="48" spans="1:12" ht="29.25" customHeight="1" x14ac:dyDescent="0.25">
      <c r="A48" s="1589"/>
      <c r="B48" s="1591"/>
      <c r="C48" s="1946"/>
      <c r="D48" s="1870"/>
      <c r="E48" s="1959"/>
      <c r="F48" s="1282" t="s">
        <v>43</v>
      </c>
      <c r="G48" s="1962"/>
      <c r="H48" s="1849"/>
      <c r="I48" s="956" t="s">
        <v>87</v>
      </c>
      <c r="J48" s="1146">
        <v>0</v>
      </c>
      <c r="K48" s="1146">
        <v>0</v>
      </c>
      <c r="L48" s="612">
        <v>0</v>
      </c>
    </row>
    <row r="49" spans="1:12" ht="29.25" customHeight="1" x14ac:dyDescent="0.25">
      <c r="A49" s="1589"/>
      <c r="B49" s="1591"/>
      <c r="C49" s="1946"/>
      <c r="D49" s="1870"/>
      <c r="E49" s="1959"/>
      <c r="F49" s="1418" t="s">
        <v>48</v>
      </c>
      <c r="G49" s="1963"/>
      <c r="H49" s="1850"/>
      <c r="I49" s="956" t="s">
        <v>87</v>
      </c>
      <c r="J49" s="250">
        <f>0+1.1</f>
        <v>1.1000000000000001</v>
      </c>
      <c r="K49" s="250"/>
      <c r="L49" s="1145"/>
    </row>
    <row r="50" spans="1:12" ht="19.5" customHeight="1" thickBot="1" x14ac:dyDescent="0.3">
      <c r="A50" s="1589"/>
      <c r="B50" s="1591"/>
      <c r="C50" s="1946"/>
      <c r="D50" s="1870"/>
      <c r="E50" s="1959"/>
      <c r="F50" s="1958" t="s">
        <v>40</v>
      </c>
      <c r="G50" s="1963"/>
      <c r="H50" s="1850"/>
      <c r="I50" s="581" t="s">
        <v>87</v>
      </c>
      <c r="J50" s="250">
        <v>0</v>
      </c>
      <c r="K50" s="568">
        <v>0</v>
      </c>
      <c r="L50" s="613">
        <v>0</v>
      </c>
    </row>
    <row r="51" spans="1:12" ht="18" customHeight="1" x14ac:dyDescent="0.25">
      <c r="A51" s="1914"/>
      <c r="B51" s="1977"/>
      <c r="C51" s="2059"/>
      <c r="D51" s="1871"/>
      <c r="E51" s="2061"/>
      <c r="F51" s="1524"/>
      <c r="G51" s="1964"/>
      <c r="H51" s="1851"/>
      <c r="I51" s="1115" t="s">
        <v>24</v>
      </c>
      <c r="J51" s="1038">
        <f>SUM(J42:J50)</f>
        <v>8.5</v>
      </c>
      <c r="K51" s="1147">
        <f>SUM(K42:K42)</f>
        <v>0</v>
      </c>
      <c r="L51" s="1148">
        <f>SUM(L42:L42)</f>
        <v>0</v>
      </c>
    </row>
    <row r="52" spans="1:12" ht="20.25" customHeight="1" x14ac:dyDescent="0.25">
      <c r="A52" s="1589" t="s">
        <v>15</v>
      </c>
      <c r="B52" s="1591" t="s">
        <v>15</v>
      </c>
      <c r="C52" s="1946" t="s">
        <v>33</v>
      </c>
      <c r="D52" s="2057" t="s">
        <v>169</v>
      </c>
      <c r="E52" s="1959" t="s">
        <v>19</v>
      </c>
      <c r="F52" s="2062" t="s">
        <v>70</v>
      </c>
      <c r="G52" s="1932" t="s">
        <v>36</v>
      </c>
      <c r="H52" s="1852" t="s">
        <v>22</v>
      </c>
      <c r="I52" s="253" t="s">
        <v>23</v>
      </c>
      <c r="J52" s="254">
        <f>248.9+0.6+8.1+4.4</f>
        <v>262</v>
      </c>
      <c r="K52" s="254">
        <v>248.9</v>
      </c>
      <c r="L52" s="254">
        <v>248.9</v>
      </c>
    </row>
    <row r="53" spans="1:12" ht="15" customHeight="1" thickBot="1" x14ac:dyDescent="0.3">
      <c r="A53" s="1588"/>
      <c r="B53" s="1590"/>
      <c r="C53" s="1926"/>
      <c r="D53" s="2058"/>
      <c r="E53" s="1959"/>
      <c r="F53" s="1931"/>
      <c r="G53" s="1933"/>
      <c r="H53" s="1853"/>
      <c r="I53" s="776" t="s">
        <v>87</v>
      </c>
      <c r="J53" s="783">
        <f>18.1</f>
        <v>18.100000000000001</v>
      </c>
      <c r="K53" s="783">
        <f t="shared" ref="K53:L53" si="3">18.1</f>
        <v>18.100000000000001</v>
      </c>
      <c r="L53" s="783">
        <f t="shared" si="3"/>
        <v>18.100000000000001</v>
      </c>
    </row>
    <row r="54" spans="1:12" ht="15.75" customHeight="1" thickBot="1" x14ac:dyDescent="0.3">
      <c r="A54" s="1588"/>
      <c r="B54" s="1590"/>
      <c r="C54" s="1926"/>
      <c r="D54" s="2058"/>
      <c r="E54" s="1960"/>
      <c r="F54" s="1930" t="s">
        <v>38</v>
      </c>
      <c r="G54" s="1933"/>
      <c r="H54" s="1854"/>
      <c r="I54" s="701" t="s">
        <v>23</v>
      </c>
      <c r="J54" s="94">
        <f>233+0.6+7.6+17.2</f>
        <v>258.39999999999998</v>
      </c>
      <c r="K54" s="94">
        <v>234</v>
      </c>
      <c r="L54" s="94">
        <v>235</v>
      </c>
    </row>
    <row r="55" spans="1:12" ht="15" customHeight="1" thickBot="1" x14ac:dyDescent="0.3">
      <c r="A55" s="1588"/>
      <c r="B55" s="1590"/>
      <c r="C55" s="1926"/>
      <c r="D55" s="2058"/>
      <c r="E55" s="1960"/>
      <c r="F55" s="1931"/>
      <c r="G55" s="1933"/>
      <c r="H55" s="1854"/>
      <c r="I55" s="784" t="s">
        <v>87</v>
      </c>
      <c r="J55" s="785">
        <f>19.8</f>
        <v>19.8</v>
      </c>
      <c r="K55" s="785">
        <f>19.8</f>
        <v>19.8</v>
      </c>
      <c r="L55" s="785">
        <f>19.8</f>
        <v>19.8</v>
      </c>
    </row>
    <row r="56" spans="1:12" ht="16.5" customHeight="1" thickBot="1" x14ac:dyDescent="0.3">
      <c r="A56" s="1588"/>
      <c r="B56" s="1590"/>
      <c r="C56" s="1926"/>
      <c r="D56" s="2058"/>
      <c r="E56" s="1960"/>
      <c r="F56" s="1930" t="s">
        <v>39</v>
      </c>
      <c r="G56" s="1933"/>
      <c r="H56" s="1854"/>
      <c r="I56" s="701" t="s">
        <v>23</v>
      </c>
      <c r="J56" s="94">
        <f>82.7+3.5</f>
        <v>86.2</v>
      </c>
      <c r="K56" s="94">
        <v>83.7</v>
      </c>
      <c r="L56" s="94">
        <v>84.7</v>
      </c>
    </row>
    <row r="57" spans="1:12" ht="17.25" customHeight="1" thickBot="1" x14ac:dyDescent="0.3">
      <c r="A57" s="1588"/>
      <c r="B57" s="1590"/>
      <c r="C57" s="1926"/>
      <c r="D57" s="2058"/>
      <c r="E57" s="1960"/>
      <c r="F57" s="1931"/>
      <c r="G57" s="1933"/>
      <c r="H57" s="1854"/>
      <c r="I57" s="784" t="s">
        <v>87</v>
      </c>
      <c r="J57" s="785">
        <f>5.9</f>
        <v>5.9</v>
      </c>
      <c r="K57" s="785">
        <f>5.9</f>
        <v>5.9</v>
      </c>
      <c r="L57" s="785">
        <f>5.9</f>
        <v>5.9</v>
      </c>
    </row>
    <row r="58" spans="1:12" ht="18" customHeight="1" thickBot="1" x14ac:dyDescent="0.3">
      <c r="A58" s="1588"/>
      <c r="B58" s="1590"/>
      <c r="C58" s="1926"/>
      <c r="D58" s="2058"/>
      <c r="E58" s="1960"/>
      <c r="F58" s="1930" t="s">
        <v>40</v>
      </c>
      <c r="G58" s="1933"/>
      <c r="H58" s="1854"/>
      <c r="I58" s="787" t="s">
        <v>23</v>
      </c>
      <c r="J58" s="782">
        <f>75.5+3.6+5.4</f>
        <v>84.5</v>
      </c>
      <c r="K58" s="782">
        <v>76.5</v>
      </c>
      <c r="L58" s="782">
        <v>77.5</v>
      </c>
    </row>
    <row r="59" spans="1:12" ht="21.75" customHeight="1" x14ac:dyDescent="0.25">
      <c r="A59" s="1588"/>
      <c r="B59" s="1590"/>
      <c r="C59" s="1926"/>
      <c r="D59" s="2058"/>
      <c r="E59" s="1960"/>
      <c r="F59" s="1931"/>
      <c r="G59" s="1933"/>
      <c r="H59" s="1854"/>
      <c r="I59" s="309" t="s">
        <v>87</v>
      </c>
      <c r="J59" s="45">
        <f>5.9</f>
        <v>5.9</v>
      </c>
      <c r="K59" s="45">
        <f>5.9</f>
        <v>5.9</v>
      </c>
      <c r="L59" s="45">
        <f>5.9</f>
        <v>5.9</v>
      </c>
    </row>
    <row r="60" spans="1:12" ht="21.75" customHeight="1" x14ac:dyDescent="0.25">
      <c r="A60" s="1588"/>
      <c r="B60" s="1590"/>
      <c r="C60" s="1926"/>
      <c r="D60" s="2058"/>
      <c r="E60" s="1960"/>
      <c r="F60" s="1522" t="s">
        <v>41</v>
      </c>
      <c r="G60" s="1933"/>
      <c r="H60" s="1855"/>
      <c r="I60" s="642" t="s">
        <v>23</v>
      </c>
      <c r="J60" s="279">
        <f>117.6-7.4+0.5+5.1+2.4</f>
        <v>118.19999999999999</v>
      </c>
      <c r="K60" s="279">
        <f>117.6-7.4</f>
        <v>110.19999999999999</v>
      </c>
      <c r="L60" s="611">
        <f>117.6-7.4</f>
        <v>110.19999999999999</v>
      </c>
    </row>
    <row r="61" spans="1:12" ht="22.5" customHeight="1" x14ac:dyDescent="0.25">
      <c r="A61" s="1588"/>
      <c r="B61" s="1590"/>
      <c r="C61" s="1926"/>
      <c r="D61" s="2058"/>
      <c r="E61" s="1960"/>
      <c r="F61" s="1524"/>
      <c r="G61" s="1933"/>
      <c r="H61" s="1855"/>
      <c r="I61" s="996" t="s">
        <v>87</v>
      </c>
      <c r="J61" s="568">
        <f>8.2</f>
        <v>8.1999999999999993</v>
      </c>
      <c r="K61" s="568">
        <f>8.2</f>
        <v>8.1999999999999993</v>
      </c>
      <c r="L61" s="613">
        <f>8.2</f>
        <v>8.1999999999999993</v>
      </c>
    </row>
    <row r="62" spans="1:12" ht="21.75" customHeight="1" x14ac:dyDescent="0.25">
      <c r="A62" s="1588"/>
      <c r="B62" s="1590"/>
      <c r="C62" s="1926"/>
      <c r="D62" s="2058"/>
      <c r="E62" s="1960"/>
      <c r="F62" s="1930" t="s">
        <v>42</v>
      </c>
      <c r="G62" s="1933"/>
      <c r="H62" s="1854"/>
      <c r="I62" s="842" t="s">
        <v>23</v>
      </c>
      <c r="J62" s="254">
        <f>217.6-7.4+0.5+6.7</f>
        <v>217.39999999999998</v>
      </c>
      <c r="K62" s="254">
        <f>217.6-7.4</f>
        <v>210.2</v>
      </c>
      <c r="L62" s="254">
        <f>217.6-7.4</f>
        <v>210.2</v>
      </c>
    </row>
    <row r="63" spans="1:12" ht="18" customHeight="1" thickBot="1" x14ac:dyDescent="0.3">
      <c r="A63" s="1588"/>
      <c r="B63" s="1590"/>
      <c r="C63" s="1926"/>
      <c r="D63" s="2058"/>
      <c r="E63" s="1960"/>
      <c r="F63" s="1931"/>
      <c r="G63" s="1933"/>
      <c r="H63" s="1854"/>
      <c r="I63" s="788" t="s">
        <v>87</v>
      </c>
      <c r="J63" s="258">
        <f>16.8</f>
        <v>16.8</v>
      </c>
      <c r="K63" s="258">
        <f>16.8</f>
        <v>16.8</v>
      </c>
      <c r="L63" s="258">
        <f>16.8</f>
        <v>16.8</v>
      </c>
    </row>
    <row r="64" spans="1:12" ht="24" customHeight="1" thickBot="1" x14ac:dyDescent="0.3">
      <c r="A64" s="1588"/>
      <c r="B64" s="1590"/>
      <c r="C64" s="1926"/>
      <c r="D64" s="2058"/>
      <c r="E64" s="1960"/>
      <c r="F64" s="752" t="s">
        <v>43</v>
      </c>
      <c r="G64" s="1934"/>
      <c r="H64" s="1854"/>
      <c r="I64" s="786" t="s">
        <v>23</v>
      </c>
      <c r="J64" s="254">
        <f>0+3+0.9</f>
        <v>3.9</v>
      </c>
      <c r="K64" s="254">
        <v>0</v>
      </c>
      <c r="L64" s="254">
        <v>0</v>
      </c>
    </row>
    <row r="65" spans="1:12" ht="24.75" customHeight="1" thickBot="1" x14ac:dyDescent="0.3">
      <c r="A65" s="1588"/>
      <c r="B65" s="1590"/>
      <c r="C65" s="1926"/>
      <c r="D65" s="2058"/>
      <c r="E65" s="1960"/>
      <c r="F65" s="159" t="s">
        <v>44</v>
      </c>
      <c r="G65" s="1934"/>
      <c r="H65" s="1854"/>
      <c r="I65" s="1283" t="s">
        <v>23</v>
      </c>
      <c r="J65" s="1284">
        <f>0+3.8+3+1.2</f>
        <v>8</v>
      </c>
      <c r="K65" s="1284">
        <v>0</v>
      </c>
      <c r="L65" s="1284">
        <v>0</v>
      </c>
    </row>
    <row r="66" spans="1:12" ht="19.5" customHeight="1" thickBot="1" x14ac:dyDescent="0.3">
      <c r="A66" s="1588"/>
      <c r="B66" s="1590"/>
      <c r="C66" s="1926"/>
      <c r="D66" s="2058"/>
      <c r="E66" s="1960"/>
      <c r="F66" s="1522" t="s">
        <v>45</v>
      </c>
      <c r="G66" s="1933"/>
      <c r="H66" s="1855"/>
      <c r="I66" s="998" t="s">
        <v>23</v>
      </c>
      <c r="J66" s="237">
        <f>78.3-31.4+3.3+3.6+0.9+1.7+5.4</f>
        <v>61.8</v>
      </c>
      <c r="K66" s="237">
        <f>78.3-31.4</f>
        <v>46.9</v>
      </c>
      <c r="L66" s="585">
        <f>78.3-31.4</f>
        <v>46.9</v>
      </c>
    </row>
    <row r="67" spans="1:12" ht="21.75" customHeight="1" thickBot="1" x14ac:dyDescent="0.3">
      <c r="A67" s="1588"/>
      <c r="B67" s="1590"/>
      <c r="C67" s="1926"/>
      <c r="D67" s="2058"/>
      <c r="E67" s="1960"/>
      <c r="F67" s="1524"/>
      <c r="G67" s="1933"/>
      <c r="H67" s="1855"/>
      <c r="I67" s="999" t="s">
        <v>87</v>
      </c>
      <c r="J67" s="241">
        <f>4.9</f>
        <v>4.9000000000000004</v>
      </c>
      <c r="K67" s="241">
        <f>4.9</f>
        <v>4.9000000000000004</v>
      </c>
      <c r="L67" s="997">
        <f>4.9</f>
        <v>4.9000000000000004</v>
      </c>
    </row>
    <row r="68" spans="1:12" ht="21" customHeight="1" thickBot="1" x14ac:dyDescent="0.3">
      <c r="A68" s="1588"/>
      <c r="B68" s="1590"/>
      <c r="C68" s="1926"/>
      <c r="D68" s="2058"/>
      <c r="E68" s="1960"/>
      <c r="F68" s="1930" t="s">
        <v>516</v>
      </c>
      <c r="G68" s="1933"/>
      <c r="H68" s="1854"/>
      <c r="I68" s="842" t="s">
        <v>23</v>
      </c>
      <c r="J68" s="254">
        <f>41.9+0.8+0.1+0.6+3.4</f>
        <v>46.8</v>
      </c>
      <c r="K68" s="254">
        <v>42.9</v>
      </c>
      <c r="L68" s="254">
        <v>43.9</v>
      </c>
    </row>
    <row r="69" spans="1:12" ht="15.75" customHeight="1" thickBot="1" x14ac:dyDescent="0.3">
      <c r="A69" s="1588"/>
      <c r="B69" s="1590"/>
      <c r="C69" s="1926"/>
      <c r="D69" s="2058"/>
      <c r="E69" s="1960"/>
      <c r="F69" s="1931"/>
      <c r="G69" s="1933"/>
      <c r="H69" s="1854"/>
      <c r="I69" s="788" t="s">
        <v>87</v>
      </c>
      <c r="J69" s="258">
        <f>3.8</f>
        <v>3.8</v>
      </c>
      <c r="K69" s="258">
        <f>3.8</f>
        <v>3.8</v>
      </c>
      <c r="L69" s="258">
        <f>3.8</f>
        <v>3.8</v>
      </c>
    </row>
    <row r="70" spans="1:12" ht="30" customHeight="1" thickBot="1" x14ac:dyDescent="0.3">
      <c r="A70" s="1588"/>
      <c r="B70" s="1590"/>
      <c r="C70" s="1926"/>
      <c r="D70" s="2058"/>
      <c r="E70" s="1960"/>
      <c r="F70" s="1522" t="s">
        <v>47</v>
      </c>
      <c r="G70" s="1933"/>
      <c r="H70" s="1854"/>
      <c r="I70" s="787" t="s">
        <v>23</v>
      </c>
      <c r="J70" s="782">
        <f>92.6+1.1+8+6.5+0.6+1.1+0.9+1.2-20</f>
        <v>91.999999999999986</v>
      </c>
      <c r="K70" s="782">
        <v>93.6</v>
      </c>
      <c r="L70" s="782">
        <v>94.6</v>
      </c>
    </row>
    <row r="71" spans="1:12" ht="30" customHeight="1" thickBot="1" x14ac:dyDescent="0.3">
      <c r="A71" s="1588"/>
      <c r="B71" s="1590"/>
      <c r="C71" s="1926"/>
      <c r="D71" s="2058"/>
      <c r="E71" s="1960"/>
      <c r="F71" s="1524"/>
      <c r="G71" s="1933"/>
      <c r="H71" s="1854"/>
      <c r="I71" s="839" t="s">
        <v>87</v>
      </c>
      <c r="J71" s="17">
        <f>4.2</f>
        <v>4.2</v>
      </c>
      <c r="K71" s="17">
        <f>4.2</f>
        <v>4.2</v>
      </c>
      <c r="L71" s="17">
        <f>4.2</f>
        <v>4.2</v>
      </c>
    </row>
    <row r="72" spans="1:12" ht="26.25" customHeight="1" thickBot="1" x14ac:dyDescent="0.3">
      <c r="A72" s="1588"/>
      <c r="B72" s="1590"/>
      <c r="C72" s="1926"/>
      <c r="D72" s="2058"/>
      <c r="E72" s="1960"/>
      <c r="F72" s="1938" t="s">
        <v>48</v>
      </c>
      <c r="G72" s="1934"/>
      <c r="H72" s="1854"/>
      <c r="I72" s="786" t="s">
        <v>23</v>
      </c>
      <c r="J72" s="254">
        <f>102.5-26.7+34.5+0.9+0.2+68-68+2.7</f>
        <v>114.10000000000001</v>
      </c>
      <c r="K72" s="254">
        <f>102.5-26.7</f>
        <v>75.8</v>
      </c>
      <c r="L72" s="254">
        <f>102.5-26.7</f>
        <v>75.8</v>
      </c>
    </row>
    <row r="73" spans="1:12" ht="25.5" customHeight="1" thickBot="1" x14ac:dyDescent="0.3">
      <c r="A73" s="1588"/>
      <c r="B73" s="1590"/>
      <c r="C73" s="1926"/>
      <c r="D73" s="2058"/>
      <c r="E73" s="1960"/>
      <c r="F73" s="1939"/>
      <c r="G73" s="1934"/>
      <c r="H73" s="1854"/>
      <c r="I73" s="850" t="s">
        <v>87</v>
      </c>
      <c r="J73" s="45">
        <f>7.4+68-68+68</f>
        <v>75.400000000000006</v>
      </c>
      <c r="K73" s="45">
        <f>7.4</f>
        <v>7.4</v>
      </c>
      <c r="L73" s="45">
        <f>7.4</f>
        <v>7.4</v>
      </c>
    </row>
    <row r="74" spans="1:12" ht="20.25" customHeight="1" x14ac:dyDescent="0.25">
      <c r="A74" s="1588"/>
      <c r="B74" s="1590"/>
      <c r="C74" s="1926"/>
      <c r="D74" s="2058"/>
      <c r="E74" s="1960"/>
      <c r="F74" s="1522" t="s">
        <v>49</v>
      </c>
      <c r="G74" s="1933"/>
      <c r="H74" s="1854"/>
      <c r="I74" s="787" t="s">
        <v>23</v>
      </c>
      <c r="J74" s="782">
        <f>17.8+0.8+0.1+0.5</f>
        <v>19.200000000000003</v>
      </c>
      <c r="K74" s="782">
        <v>17.8</v>
      </c>
      <c r="L74" s="782">
        <v>17.8</v>
      </c>
    </row>
    <row r="75" spans="1:12" ht="18" customHeight="1" x14ac:dyDescent="0.25">
      <c r="A75" s="1588"/>
      <c r="B75" s="1590"/>
      <c r="C75" s="1926"/>
      <c r="D75" s="2058"/>
      <c r="E75" s="1960"/>
      <c r="F75" s="1524"/>
      <c r="G75" s="1933"/>
      <c r="H75" s="1854"/>
      <c r="I75" s="788" t="s">
        <v>87</v>
      </c>
      <c r="J75" s="1284">
        <f>1.4</f>
        <v>1.4</v>
      </c>
      <c r="K75" s="1284">
        <f>1.4</f>
        <v>1.4</v>
      </c>
      <c r="L75" s="1284">
        <f>1.4</f>
        <v>1.4</v>
      </c>
    </row>
    <row r="76" spans="1:12" ht="21.75" customHeight="1" thickBot="1" x14ac:dyDescent="0.3">
      <c r="A76" s="1588"/>
      <c r="B76" s="1590"/>
      <c r="C76" s="1926"/>
      <c r="D76" s="2058"/>
      <c r="E76" s="1960"/>
      <c r="F76" s="1522" t="s">
        <v>50</v>
      </c>
      <c r="G76" s="1933"/>
      <c r="H76" s="1855"/>
      <c r="I76" s="1149" t="s">
        <v>23</v>
      </c>
      <c r="J76" s="237">
        <f>0+0.4+0.2</f>
        <v>0.60000000000000009</v>
      </c>
      <c r="K76" s="237">
        <v>0</v>
      </c>
      <c r="L76" s="585">
        <v>0</v>
      </c>
    </row>
    <row r="77" spans="1:12" ht="17.25" customHeight="1" thickBot="1" x14ac:dyDescent="0.3">
      <c r="A77" s="1588"/>
      <c r="B77" s="1590"/>
      <c r="C77" s="1926"/>
      <c r="D77" s="2058"/>
      <c r="E77" s="1960"/>
      <c r="F77" s="1524"/>
      <c r="G77" s="1933"/>
      <c r="H77" s="1855"/>
      <c r="I77" s="1372" t="s">
        <v>54</v>
      </c>
      <c r="J77" s="1096">
        <v>6.1</v>
      </c>
      <c r="K77" s="1096">
        <v>0</v>
      </c>
      <c r="L77" s="1097">
        <v>0</v>
      </c>
    </row>
    <row r="78" spans="1:12" ht="14.25" customHeight="1" thickBot="1" x14ac:dyDescent="0.3">
      <c r="A78" s="1588"/>
      <c r="B78" s="1590"/>
      <c r="C78" s="1926"/>
      <c r="D78" s="2058"/>
      <c r="E78" s="1960"/>
      <c r="F78" s="1944" t="s">
        <v>51</v>
      </c>
      <c r="G78" s="1934"/>
      <c r="H78" s="1855"/>
      <c r="I78" s="787" t="s">
        <v>23</v>
      </c>
      <c r="J78" s="782">
        <f>32.4-7.9+0.4+0.7+0.32</f>
        <v>25.919999999999998</v>
      </c>
      <c r="K78" s="782">
        <f>32.4-7.9</f>
        <v>24.5</v>
      </c>
      <c r="L78" s="782">
        <f>32.4-7.9</f>
        <v>24.5</v>
      </c>
    </row>
    <row r="79" spans="1:12" ht="14.25" customHeight="1" thickBot="1" x14ac:dyDescent="0.3">
      <c r="A79" s="1588"/>
      <c r="B79" s="1590"/>
      <c r="C79" s="1926"/>
      <c r="D79" s="2058"/>
      <c r="E79" s="1960"/>
      <c r="F79" s="1945"/>
      <c r="G79" s="1934"/>
      <c r="H79" s="1855"/>
      <c r="I79" s="1373" t="s">
        <v>87</v>
      </c>
      <c r="J79" s="256">
        <f>2.1</f>
        <v>2.1</v>
      </c>
      <c r="K79" s="256">
        <f>2.1</f>
        <v>2.1</v>
      </c>
      <c r="L79" s="256">
        <f>2.1</f>
        <v>2.1</v>
      </c>
    </row>
    <row r="80" spans="1:12" ht="14.25" customHeight="1" thickBot="1" x14ac:dyDescent="0.3">
      <c r="A80" s="1588"/>
      <c r="B80" s="1590"/>
      <c r="C80" s="1926"/>
      <c r="D80" s="2058"/>
      <c r="E80" s="1960"/>
      <c r="F80" s="1945"/>
      <c r="G80" s="1934"/>
      <c r="H80" s="1855"/>
      <c r="I80" s="788" t="s">
        <v>30</v>
      </c>
      <c r="J80" s="258">
        <v>0.4</v>
      </c>
      <c r="K80" s="258">
        <v>0</v>
      </c>
      <c r="L80" s="258">
        <v>0</v>
      </c>
    </row>
    <row r="81" spans="1:12" ht="22.5" customHeight="1" thickBot="1" x14ac:dyDescent="0.3">
      <c r="A81" s="1588"/>
      <c r="B81" s="1590"/>
      <c r="C81" s="1926"/>
      <c r="D81" s="2058"/>
      <c r="E81" s="1960"/>
      <c r="F81" s="1945"/>
      <c r="G81" s="1934"/>
      <c r="H81" s="1856"/>
      <c r="I81" s="590" t="s">
        <v>24</v>
      </c>
      <c r="J81" s="843">
        <f>SUM(J52:J79)</f>
        <v>1571.62</v>
      </c>
      <c r="K81" s="843">
        <f>SUM(K52:K79)</f>
        <v>1363.5000000000002</v>
      </c>
      <c r="L81" s="843">
        <f>SUM(L52:L79)</f>
        <v>1368.5000000000002</v>
      </c>
    </row>
    <row r="82" spans="1:12" ht="45" customHeight="1" x14ac:dyDescent="0.25">
      <c r="A82" s="1971" t="s">
        <v>15</v>
      </c>
      <c r="B82" s="1927" t="s">
        <v>15</v>
      </c>
      <c r="C82" s="1925" t="s">
        <v>66</v>
      </c>
      <c r="D82" s="2065" t="s">
        <v>170</v>
      </c>
      <c r="E82" s="1973" t="s">
        <v>19</v>
      </c>
      <c r="F82" s="2053" t="s">
        <v>40</v>
      </c>
      <c r="G82" s="2052" t="s">
        <v>171</v>
      </c>
      <c r="H82" s="2064" t="s">
        <v>22</v>
      </c>
      <c r="I82" s="570" t="s">
        <v>87</v>
      </c>
      <c r="J82" s="827">
        <v>4.2</v>
      </c>
      <c r="K82" s="828">
        <v>0</v>
      </c>
      <c r="L82" s="829">
        <v>0</v>
      </c>
    </row>
    <row r="83" spans="1:12" ht="37.5" customHeight="1" x14ac:dyDescent="0.25">
      <c r="A83" s="1972"/>
      <c r="B83" s="1590"/>
      <c r="C83" s="1926"/>
      <c r="D83" s="2066"/>
      <c r="E83" s="1974"/>
      <c r="F83" s="2053"/>
      <c r="G83" s="1718"/>
      <c r="H83" s="2009"/>
      <c r="I83" s="1117" t="s">
        <v>24</v>
      </c>
      <c r="J83" s="1118">
        <f>SUM(J82:J82)</f>
        <v>4.2</v>
      </c>
      <c r="K83" s="1119">
        <f>SUM(K82:K82)</f>
        <v>0</v>
      </c>
      <c r="L83" s="1120">
        <f>SUM(L82:L82)</f>
        <v>0</v>
      </c>
    </row>
    <row r="84" spans="1:12" ht="23.25" customHeight="1" x14ac:dyDescent="0.25">
      <c r="A84" s="2111" t="s">
        <v>15</v>
      </c>
      <c r="B84" s="1900" t="s">
        <v>15</v>
      </c>
      <c r="C84" s="1975" t="s">
        <v>72</v>
      </c>
      <c r="D84" s="1921" t="s">
        <v>172</v>
      </c>
      <c r="E84" s="1923" t="s">
        <v>19</v>
      </c>
      <c r="F84" s="1968" t="s">
        <v>20</v>
      </c>
      <c r="G84" s="1912" t="s">
        <v>112</v>
      </c>
      <c r="H84" s="1969" t="s">
        <v>22</v>
      </c>
      <c r="I84" s="1113" t="s">
        <v>23</v>
      </c>
      <c r="J84" s="825">
        <f>14-6.1</f>
        <v>7.9</v>
      </c>
      <c r="K84" s="1029">
        <v>14</v>
      </c>
      <c r="L84" s="1114">
        <v>14</v>
      </c>
    </row>
    <row r="85" spans="1:12" x14ac:dyDescent="0.25">
      <c r="A85" s="2112"/>
      <c r="B85" s="2113"/>
      <c r="C85" s="1976"/>
      <c r="D85" s="1922"/>
      <c r="E85" s="1924"/>
      <c r="F85" s="1968"/>
      <c r="G85" s="1913"/>
      <c r="H85" s="1970"/>
      <c r="I85" s="571" t="s">
        <v>24</v>
      </c>
      <c r="J85" s="572">
        <f>SUM(J84)</f>
        <v>7.9</v>
      </c>
      <c r="K85" s="573">
        <f t="shared" ref="K85:L85" si="4">SUM(K84)</f>
        <v>14</v>
      </c>
      <c r="L85" s="1125">
        <f t="shared" si="4"/>
        <v>14</v>
      </c>
    </row>
    <row r="86" spans="1:12" ht="24.75" customHeight="1" x14ac:dyDescent="0.25">
      <c r="A86" s="1889" t="s">
        <v>15</v>
      </c>
      <c r="B86" s="1878" t="s">
        <v>15</v>
      </c>
      <c r="C86" s="2105" t="s">
        <v>74</v>
      </c>
      <c r="D86" s="2106" t="s">
        <v>173</v>
      </c>
      <c r="E86" s="1993" t="s">
        <v>19</v>
      </c>
      <c r="F86" s="1088" t="s">
        <v>70</v>
      </c>
      <c r="G86" s="1966" t="s">
        <v>36</v>
      </c>
      <c r="H86" s="1860" t="s">
        <v>22</v>
      </c>
      <c r="I86" s="1123" t="s">
        <v>23</v>
      </c>
      <c r="J86" s="31">
        <f>1.3+1.2+0.1</f>
        <v>2.6</v>
      </c>
      <c r="K86" s="31">
        <v>1.3</v>
      </c>
      <c r="L86" s="575">
        <v>1.3</v>
      </c>
    </row>
    <row r="87" spans="1:12" ht="30" customHeight="1" x14ac:dyDescent="0.25">
      <c r="A87" s="1888"/>
      <c r="B87" s="1879"/>
      <c r="C87" s="1880"/>
      <c r="D87" s="1881"/>
      <c r="E87" s="1993"/>
      <c r="F87" s="1121" t="s">
        <v>38</v>
      </c>
      <c r="G87" s="1967"/>
      <c r="H87" s="1858"/>
      <c r="I87" s="1124" t="s">
        <v>23</v>
      </c>
      <c r="J87" s="454">
        <f>3+0.1</f>
        <v>3.1</v>
      </c>
      <c r="K87" s="454">
        <v>3</v>
      </c>
      <c r="L87" s="1048">
        <v>3</v>
      </c>
    </row>
    <row r="88" spans="1:12" ht="37.5" customHeight="1" x14ac:dyDescent="0.25">
      <c r="A88" s="1888"/>
      <c r="B88" s="1879"/>
      <c r="C88" s="1880"/>
      <c r="D88" s="1881"/>
      <c r="E88" s="1993"/>
      <c r="F88" s="1086" t="s">
        <v>39</v>
      </c>
      <c r="G88" s="1967"/>
      <c r="H88" s="1858"/>
      <c r="I88" s="567" t="s">
        <v>23</v>
      </c>
      <c r="J88" s="454">
        <v>6</v>
      </c>
      <c r="K88" s="454">
        <v>6</v>
      </c>
      <c r="L88" s="1048">
        <v>6</v>
      </c>
    </row>
    <row r="89" spans="1:12" ht="33" customHeight="1" x14ac:dyDescent="0.25">
      <c r="A89" s="1888"/>
      <c r="B89" s="1879"/>
      <c r="C89" s="1880"/>
      <c r="D89" s="1881"/>
      <c r="E89" s="1993"/>
      <c r="F89" s="1121" t="s">
        <v>40</v>
      </c>
      <c r="G89" s="1967"/>
      <c r="H89" s="1858"/>
      <c r="I89" s="956" t="s">
        <v>23</v>
      </c>
      <c r="J89" s="454">
        <f>3.2+0.7</f>
        <v>3.9000000000000004</v>
      </c>
      <c r="K89" s="454">
        <v>3.2</v>
      </c>
      <c r="L89" s="1048">
        <v>3.2</v>
      </c>
    </row>
    <row r="90" spans="1:12" ht="35.25" customHeight="1" x14ac:dyDescent="0.25">
      <c r="A90" s="1888"/>
      <c r="B90" s="1879"/>
      <c r="C90" s="1880"/>
      <c r="D90" s="1881"/>
      <c r="E90" s="1993"/>
      <c r="F90" s="1121" t="s">
        <v>41</v>
      </c>
      <c r="G90" s="1967"/>
      <c r="H90" s="1858"/>
      <c r="I90" s="956" t="s">
        <v>23</v>
      </c>
      <c r="J90" s="454">
        <v>2</v>
      </c>
      <c r="K90" s="454">
        <v>2</v>
      </c>
      <c r="L90" s="1048">
        <v>2</v>
      </c>
    </row>
    <row r="91" spans="1:12" ht="37.5" customHeight="1" x14ac:dyDescent="0.25">
      <c r="A91" s="1888"/>
      <c r="B91" s="1879"/>
      <c r="C91" s="1880"/>
      <c r="D91" s="1881"/>
      <c r="E91" s="1993"/>
      <c r="F91" s="1085" t="s">
        <v>42</v>
      </c>
      <c r="G91" s="1967"/>
      <c r="H91" s="1858"/>
      <c r="I91" s="956" t="s">
        <v>23</v>
      </c>
      <c r="J91" s="454">
        <v>7.3</v>
      </c>
      <c r="K91" s="454">
        <v>7.3</v>
      </c>
      <c r="L91" s="1048">
        <v>7.3</v>
      </c>
    </row>
    <row r="92" spans="1:12" ht="23.25" customHeight="1" x14ac:dyDescent="0.25">
      <c r="A92" s="1888"/>
      <c r="B92" s="1879"/>
      <c r="C92" s="1880"/>
      <c r="D92" s="1881"/>
      <c r="E92" s="1993"/>
      <c r="F92" s="1121" t="s">
        <v>43</v>
      </c>
      <c r="G92" s="1967"/>
      <c r="H92" s="1858"/>
      <c r="I92" s="956" t="s">
        <v>23</v>
      </c>
      <c r="J92" s="454">
        <v>5.4</v>
      </c>
      <c r="K92" s="454">
        <v>5.4</v>
      </c>
      <c r="L92" s="1048">
        <v>5.4</v>
      </c>
    </row>
    <row r="93" spans="1:12" ht="23.25" customHeight="1" x14ac:dyDescent="0.25">
      <c r="A93" s="1888"/>
      <c r="B93" s="1879"/>
      <c r="C93" s="1880"/>
      <c r="D93" s="1881"/>
      <c r="E93" s="1993"/>
      <c r="F93" s="1084" t="s">
        <v>44</v>
      </c>
      <c r="G93" s="1967"/>
      <c r="H93" s="1858"/>
      <c r="I93" s="581" t="s">
        <v>23</v>
      </c>
      <c r="J93" s="399">
        <f>8.7+1.7</f>
        <v>10.399999999999999</v>
      </c>
      <c r="K93" s="399">
        <v>8.6999999999999993</v>
      </c>
      <c r="L93" s="641">
        <v>8.6999999999999993</v>
      </c>
    </row>
    <row r="94" spans="1:12" ht="26.25" customHeight="1" x14ac:dyDescent="0.25">
      <c r="A94" s="1888"/>
      <c r="B94" s="1879"/>
      <c r="C94" s="1880"/>
      <c r="D94" s="1881"/>
      <c r="E94" s="1993"/>
      <c r="F94" s="1712" t="s">
        <v>45</v>
      </c>
      <c r="G94" s="1967"/>
      <c r="H94" s="1858"/>
      <c r="I94" s="642" t="s">
        <v>23</v>
      </c>
      <c r="J94" s="31">
        <f>23+2.4</f>
        <v>25.4</v>
      </c>
      <c r="K94" s="31">
        <v>23</v>
      </c>
      <c r="L94" s="575">
        <v>23</v>
      </c>
    </row>
    <row r="95" spans="1:12" ht="23.25" customHeight="1" x14ac:dyDescent="0.25">
      <c r="A95" s="1888"/>
      <c r="B95" s="1879"/>
      <c r="C95" s="1880"/>
      <c r="D95" s="1881"/>
      <c r="E95" s="1993"/>
      <c r="F95" s="1886"/>
      <c r="G95" s="1967"/>
      <c r="H95" s="1858"/>
      <c r="I95" s="941" t="s">
        <v>30</v>
      </c>
      <c r="J95" s="402">
        <v>0.1</v>
      </c>
      <c r="K95" s="402">
        <v>0</v>
      </c>
      <c r="L95" s="578">
        <v>0</v>
      </c>
    </row>
    <row r="96" spans="1:12" ht="32.25" customHeight="1" x14ac:dyDescent="0.25">
      <c r="A96" s="1888"/>
      <c r="B96" s="1879"/>
      <c r="C96" s="1880"/>
      <c r="D96" s="1881"/>
      <c r="E96" s="1993"/>
      <c r="F96" s="1086" t="s">
        <v>46</v>
      </c>
      <c r="G96" s="1967"/>
      <c r="H96" s="1858"/>
      <c r="I96" s="567" t="s">
        <v>23</v>
      </c>
      <c r="J96" s="634">
        <f>6.1+2.3</f>
        <v>8.3999999999999986</v>
      </c>
      <c r="K96" s="634">
        <v>6.1</v>
      </c>
      <c r="L96" s="1049">
        <v>6.1</v>
      </c>
    </row>
    <row r="97" spans="1:12" ht="29.25" customHeight="1" x14ac:dyDescent="0.25">
      <c r="A97" s="1888"/>
      <c r="B97" s="1879"/>
      <c r="C97" s="1880"/>
      <c r="D97" s="1881"/>
      <c r="E97" s="1993"/>
      <c r="F97" s="1121" t="s">
        <v>47</v>
      </c>
      <c r="G97" s="1967"/>
      <c r="H97" s="1858"/>
      <c r="I97" s="956" t="s">
        <v>23</v>
      </c>
      <c r="J97" s="454">
        <f>7+0.9</f>
        <v>7.9</v>
      </c>
      <c r="K97" s="454">
        <v>7</v>
      </c>
      <c r="L97" s="1048">
        <v>7</v>
      </c>
    </row>
    <row r="98" spans="1:12" ht="32.25" customHeight="1" x14ac:dyDescent="0.25">
      <c r="A98" s="1888"/>
      <c r="B98" s="1879"/>
      <c r="C98" s="1880"/>
      <c r="D98" s="1881"/>
      <c r="E98" s="1993"/>
      <c r="F98" s="1085" t="s">
        <v>48</v>
      </c>
      <c r="G98" s="1967"/>
      <c r="H98" s="1858"/>
      <c r="I98" s="956" t="s">
        <v>23</v>
      </c>
      <c r="J98" s="454">
        <v>5.9</v>
      </c>
      <c r="K98" s="454">
        <v>5.9</v>
      </c>
      <c r="L98" s="1048">
        <v>5.9</v>
      </c>
    </row>
    <row r="99" spans="1:12" ht="36.75" customHeight="1" x14ac:dyDescent="0.25">
      <c r="A99" s="1888"/>
      <c r="B99" s="1879"/>
      <c r="C99" s="1880"/>
      <c r="D99" s="1881"/>
      <c r="E99" s="1993"/>
      <c r="F99" s="1121" t="s">
        <v>49</v>
      </c>
      <c r="G99" s="1967"/>
      <c r="H99" s="1858"/>
      <c r="I99" s="956" t="s">
        <v>23</v>
      </c>
      <c r="J99" s="454">
        <f>6.7+0.7</f>
        <v>7.4</v>
      </c>
      <c r="K99" s="454">
        <v>6.7</v>
      </c>
      <c r="L99" s="1048">
        <v>6.7</v>
      </c>
    </row>
    <row r="100" spans="1:12" ht="22.5" customHeight="1" x14ac:dyDescent="0.25">
      <c r="A100" s="1888"/>
      <c r="B100" s="1879"/>
      <c r="C100" s="1880"/>
      <c r="D100" s="1881"/>
      <c r="E100" s="1993"/>
      <c r="F100" s="1084" t="s">
        <v>50</v>
      </c>
      <c r="G100" s="1967"/>
      <c r="H100" s="1858"/>
      <c r="I100" s="956" t="s">
        <v>23</v>
      </c>
      <c r="J100" s="454">
        <f>13.8+3.8</f>
        <v>17.600000000000001</v>
      </c>
      <c r="K100" s="454">
        <v>13.8</v>
      </c>
      <c r="L100" s="1048">
        <v>13.8</v>
      </c>
    </row>
    <row r="101" spans="1:12" ht="32.25" customHeight="1" x14ac:dyDescent="0.25">
      <c r="A101" s="1888"/>
      <c r="B101" s="1879"/>
      <c r="C101" s="1880"/>
      <c r="D101" s="1881"/>
      <c r="E101" s="1993"/>
      <c r="F101" s="1084" t="s">
        <v>51</v>
      </c>
      <c r="G101" s="1967"/>
      <c r="H101" s="1858"/>
      <c r="I101" s="956" t="s">
        <v>23</v>
      </c>
      <c r="J101" s="454">
        <f>9.1+0.1</f>
        <v>9.1999999999999993</v>
      </c>
      <c r="K101" s="454">
        <v>9.1</v>
      </c>
      <c r="L101" s="1048">
        <v>9.1</v>
      </c>
    </row>
    <row r="102" spans="1:12" ht="36" customHeight="1" x14ac:dyDescent="0.25">
      <c r="A102" s="1888"/>
      <c r="B102" s="1879"/>
      <c r="C102" s="1880"/>
      <c r="D102" s="1881"/>
      <c r="E102" s="1993"/>
      <c r="F102" s="1122" t="s">
        <v>52</v>
      </c>
      <c r="G102" s="1967"/>
      <c r="H102" s="1858"/>
      <c r="I102" s="956" t="s">
        <v>23</v>
      </c>
      <c r="J102" s="454">
        <v>2.8</v>
      </c>
      <c r="K102" s="454">
        <v>2.8</v>
      </c>
      <c r="L102" s="1048">
        <v>2.8</v>
      </c>
    </row>
    <row r="103" spans="1:12" ht="26.25" customHeight="1" x14ac:dyDescent="0.25">
      <c r="A103" s="1888"/>
      <c r="B103" s="1879"/>
      <c r="C103" s="1880"/>
      <c r="D103" s="1881"/>
      <c r="E103" s="1993"/>
      <c r="F103" s="1087" t="s">
        <v>53</v>
      </c>
      <c r="G103" s="1967"/>
      <c r="H103" s="1858"/>
      <c r="I103" s="956" t="s">
        <v>23</v>
      </c>
      <c r="J103" s="454">
        <f>13.2+4.5</f>
        <v>17.7</v>
      </c>
      <c r="K103" s="454">
        <v>13.2</v>
      </c>
      <c r="L103" s="1048">
        <v>13.2</v>
      </c>
    </row>
    <row r="104" spans="1:12" ht="25.5" customHeight="1" x14ac:dyDescent="0.25">
      <c r="A104" s="1888"/>
      <c r="B104" s="1879"/>
      <c r="C104" s="1880"/>
      <c r="D104" s="1881"/>
      <c r="E104" s="1993"/>
      <c r="F104" s="1776" t="s">
        <v>55</v>
      </c>
      <c r="G104" s="1967"/>
      <c r="H104" s="1858"/>
      <c r="I104" s="581" t="s">
        <v>23</v>
      </c>
      <c r="J104" s="399">
        <f>6.4+1.5</f>
        <v>7.9</v>
      </c>
      <c r="K104" s="399">
        <v>6.4</v>
      </c>
      <c r="L104" s="641">
        <v>6.4</v>
      </c>
    </row>
    <row r="105" spans="1:12" ht="15" customHeight="1" x14ac:dyDescent="0.25">
      <c r="A105" s="1888"/>
      <c r="B105" s="1879"/>
      <c r="C105" s="1880"/>
      <c r="D105" s="1881"/>
      <c r="E105" s="2107"/>
      <c r="F105" s="1965"/>
      <c r="G105" s="1967"/>
      <c r="H105" s="1858"/>
      <c r="I105" s="571" t="s">
        <v>24</v>
      </c>
      <c r="J105" s="1126">
        <f>J86+J87+J88+J89+J90+J91+J92+J93+J94+J95+J96+J97+J98+J99+J100+J101+J102+J103+J104</f>
        <v>151</v>
      </c>
      <c r="K105" s="1126">
        <f t="shared" ref="K105:L105" si="5">SUM(K86:K104)</f>
        <v>130.9</v>
      </c>
      <c r="L105" s="1125">
        <f t="shared" si="5"/>
        <v>130.9</v>
      </c>
    </row>
    <row r="106" spans="1:12" ht="24" x14ac:dyDescent="0.25">
      <c r="A106" s="1907" t="s">
        <v>15</v>
      </c>
      <c r="B106" s="1879" t="s">
        <v>15</v>
      </c>
      <c r="C106" s="1880" t="s">
        <v>78</v>
      </c>
      <c r="D106" s="1881" t="s">
        <v>174</v>
      </c>
      <c r="E106" s="1882" t="s">
        <v>19</v>
      </c>
      <c r="F106" s="752" t="s">
        <v>43</v>
      </c>
      <c r="G106" s="1712" t="s">
        <v>36</v>
      </c>
      <c r="H106" s="1857" t="s">
        <v>175</v>
      </c>
      <c r="I106" s="642" t="s">
        <v>87</v>
      </c>
      <c r="J106" s="31">
        <v>17.2</v>
      </c>
      <c r="K106" s="31">
        <v>0</v>
      </c>
      <c r="L106" s="575">
        <v>0</v>
      </c>
    </row>
    <row r="107" spans="1:12" ht="24" x14ac:dyDescent="0.25">
      <c r="A107" s="1907"/>
      <c r="B107" s="1879"/>
      <c r="C107" s="1880"/>
      <c r="D107" s="1881"/>
      <c r="E107" s="1882"/>
      <c r="F107" s="606" t="s">
        <v>44</v>
      </c>
      <c r="G107" s="1712"/>
      <c r="H107" s="1858"/>
      <c r="I107" s="956" t="s">
        <v>87</v>
      </c>
      <c r="J107" s="454">
        <v>14.1</v>
      </c>
      <c r="K107" s="454">
        <v>0</v>
      </c>
      <c r="L107" s="1048">
        <v>0</v>
      </c>
    </row>
    <row r="108" spans="1:12" ht="24" x14ac:dyDescent="0.25">
      <c r="A108" s="1907"/>
      <c r="B108" s="1879"/>
      <c r="C108" s="1880"/>
      <c r="D108" s="1881"/>
      <c r="E108" s="1882"/>
      <c r="F108" s="606" t="s">
        <v>45</v>
      </c>
      <c r="G108" s="1712"/>
      <c r="H108" s="1858"/>
      <c r="I108" s="956" t="s">
        <v>87</v>
      </c>
      <c r="J108" s="454">
        <v>14.6</v>
      </c>
      <c r="K108" s="454">
        <v>0</v>
      </c>
      <c r="L108" s="1048">
        <v>0</v>
      </c>
    </row>
    <row r="109" spans="1:12" ht="24" x14ac:dyDescent="0.25">
      <c r="A109" s="1907"/>
      <c r="B109" s="1879"/>
      <c r="C109" s="1880"/>
      <c r="D109" s="1881"/>
      <c r="E109" s="1882"/>
      <c r="F109" s="606" t="s">
        <v>47</v>
      </c>
      <c r="G109" s="1712"/>
      <c r="H109" s="1858"/>
      <c r="I109" s="956" t="s">
        <v>87</v>
      </c>
      <c r="J109" s="454">
        <v>21.8</v>
      </c>
      <c r="K109" s="454">
        <v>0</v>
      </c>
      <c r="L109" s="1048">
        <v>0</v>
      </c>
    </row>
    <row r="110" spans="1:12" ht="24" x14ac:dyDescent="0.25">
      <c r="A110" s="1907"/>
      <c r="B110" s="1879"/>
      <c r="C110" s="1880"/>
      <c r="D110" s="1881"/>
      <c r="E110" s="1882"/>
      <c r="F110" s="606" t="s">
        <v>50</v>
      </c>
      <c r="G110" s="1712"/>
      <c r="H110" s="1858"/>
      <c r="I110" s="956" t="s">
        <v>87</v>
      </c>
      <c r="J110" s="454">
        <v>16.3</v>
      </c>
      <c r="K110" s="454">
        <v>0</v>
      </c>
      <c r="L110" s="1048">
        <v>0</v>
      </c>
    </row>
    <row r="111" spans="1:12" ht="21" customHeight="1" x14ac:dyDescent="0.25">
      <c r="A111" s="1907"/>
      <c r="B111" s="1879"/>
      <c r="C111" s="1880"/>
      <c r="D111" s="1881"/>
      <c r="E111" s="1882"/>
      <c r="F111" s="1883" t="s">
        <v>55</v>
      </c>
      <c r="G111" s="1712"/>
      <c r="H111" s="1858"/>
      <c r="I111" s="956" t="s">
        <v>87</v>
      </c>
      <c r="J111" s="454">
        <v>14.3</v>
      </c>
      <c r="K111" s="454">
        <v>0</v>
      </c>
      <c r="L111" s="1048">
        <v>0</v>
      </c>
    </row>
    <row r="112" spans="1:12" ht="21" customHeight="1" thickBot="1" x14ac:dyDescent="0.3">
      <c r="A112" s="1907"/>
      <c r="B112" s="1879"/>
      <c r="C112" s="1880"/>
      <c r="D112" s="1881"/>
      <c r="E112" s="1882"/>
      <c r="F112" s="1884"/>
      <c r="G112" s="1712"/>
      <c r="H112" s="1858"/>
      <c r="I112" s="581" t="s">
        <v>23</v>
      </c>
      <c r="J112" s="399">
        <v>0</v>
      </c>
      <c r="K112" s="399">
        <v>0</v>
      </c>
      <c r="L112" s="641">
        <v>0</v>
      </c>
    </row>
    <row r="113" spans="1:12" ht="20.25" customHeight="1" thickBot="1" x14ac:dyDescent="0.3">
      <c r="A113" s="1907"/>
      <c r="B113" s="1879"/>
      <c r="C113" s="1880"/>
      <c r="D113" s="1881"/>
      <c r="E113" s="1882"/>
      <c r="F113" s="1885"/>
      <c r="G113" s="1712"/>
      <c r="H113" s="1859"/>
      <c r="I113" s="1115" t="s">
        <v>24</v>
      </c>
      <c r="J113" s="1004">
        <f>SUM(J106:J112)</f>
        <v>98.3</v>
      </c>
      <c r="K113" s="1116">
        <f>SUM(K106:K112)</f>
        <v>0</v>
      </c>
      <c r="L113" s="1038">
        <f>SUM(L106:L112)</f>
        <v>0</v>
      </c>
    </row>
    <row r="114" spans="1:12" ht="15" customHeight="1" x14ac:dyDescent="0.25">
      <c r="A114" s="1861" t="s">
        <v>15</v>
      </c>
      <c r="B114" s="1891" t="s">
        <v>15</v>
      </c>
      <c r="C114" s="1866" t="s">
        <v>103</v>
      </c>
      <c r="D114" s="2174" t="s">
        <v>176</v>
      </c>
      <c r="E114" s="2116" t="s">
        <v>498</v>
      </c>
      <c r="F114" s="2119" t="s">
        <v>20</v>
      </c>
      <c r="G114" s="2153" t="s">
        <v>178</v>
      </c>
      <c r="H114" s="2155" t="s">
        <v>179</v>
      </c>
      <c r="I114" s="567" t="s">
        <v>23</v>
      </c>
      <c r="J114" s="634">
        <f>160-95.1-38.6</f>
        <v>26.300000000000004</v>
      </c>
      <c r="K114" s="634">
        <v>117.7</v>
      </c>
      <c r="L114" s="1049">
        <v>117.7</v>
      </c>
    </row>
    <row r="115" spans="1:12" ht="15" customHeight="1" x14ac:dyDescent="0.25">
      <c r="A115" s="1862"/>
      <c r="B115" s="1892"/>
      <c r="C115" s="1867"/>
      <c r="D115" s="2175"/>
      <c r="E115" s="2117"/>
      <c r="F115" s="2120"/>
      <c r="G115" s="2154"/>
      <c r="H115" s="2006"/>
      <c r="I115" s="580" t="s">
        <v>324</v>
      </c>
      <c r="J115" s="393">
        <f>0+631.8</f>
        <v>631.79999999999995</v>
      </c>
      <c r="K115" s="393">
        <v>0</v>
      </c>
      <c r="L115" s="942">
        <v>0</v>
      </c>
    </row>
    <row r="116" spans="1:12" ht="21" customHeight="1" thickBot="1" x14ac:dyDescent="0.3">
      <c r="A116" s="1862"/>
      <c r="B116" s="1892"/>
      <c r="C116" s="1867"/>
      <c r="D116" s="2175"/>
      <c r="E116" s="2117"/>
      <c r="F116" s="2121"/>
      <c r="G116" s="1714"/>
      <c r="H116" s="2006"/>
      <c r="I116" s="941" t="s">
        <v>180</v>
      </c>
      <c r="J116" s="402">
        <v>0</v>
      </c>
      <c r="K116" s="402">
        <v>1000</v>
      </c>
      <c r="L116" s="578">
        <v>1000</v>
      </c>
    </row>
    <row r="117" spans="1:12" ht="36.75" customHeight="1" x14ac:dyDescent="0.25">
      <c r="A117" s="1862"/>
      <c r="B117" s="1892"/>
      <c r="C117" s="1867"/>
      <c r="D117" s="2175"/>
      <c r="E117" s="2117"/>
      <c r="F117" s="741" t="s">
        <v>41</v>
      </c>
      <c r="G117" s="1953" t="s">
        <v>36</v>
      </c>
      <c r="H117" s="2006"/>
      <c r="I117" s="580" t="s">
        <v>23</v>
      </c>
      <c r="J117" s="393">
        <v>92.5</v>
      </c>
      <c r="K117" s="393">
        <v>0</v>
      </c>
      <c r="L117" s="942">
        <v>0</v>
      </c>
    </row>
    <row r="118" spans="1:12" ht="24.75" customHeight="1" x14ac:dyDescent="0.25">
      <c r="A118" s="1862"/>
      <c r="B118" s="1892"/>
      <c r="C118" s="1867"/>
      <c r="D118" s="2175"/>
      <c r="E118" s="2117"/>
      <c r="F118" s="741" t="s">
        <v>47</v>
      </c>
      <c r="G118" s="1953"/>
      <c r="H118" s="2006"/>
      <c r="I118" s="581" t="s">
        <v>23</v>
      </c>
      <c r="J118" s="399">
        <v>230.6</v>
      </c>
      <c r="K118" s="399">
        <v>0</v>
      </c>
      <c r="L118" s="641">
        <v>0</v>
      </c>
    </row>
    <row r="119" spans="1:12" ht="27.75" customHeight="1" thickBot="1" x14ac:dyDescent="0.3">
      <c r="A119" s="1862"/>
      <c r="B119" s="1892"/>
      <c r="C119" s="1867"/>
      <c r="D119" s="2175"/>
      <c r="E119" s="2117"/>
      <c r="F119" s="1036" t="s">
        <v>46</v>
      </c>
      <c r="G119" s="1953"/>
      <c r="H119" s="2006"/>
      <c r="I119" s="581" t="s">
        <v>23</v>
      </c>
      <c r="J119" s="399">
        <v>107.8</v>
      </c>
      <c r="K119" s="399">
        <v>0</v>
      </c>
      <c r="L119" s="641">
        <v>0</v>
      </c>
    </row>
    <row r="120" spans="1:12" ht="15" customHeight="1" x14ac:dyDescent="0.25">
      <c r="A120" s="1862"/>
      <c r="B120" s="1892"/>
      <c r="C120" s="1867"/>
      <c r="D120" s="2175"/>
      <c r="E120" s="2117"/>
      <c r="F120" s="1951" t="s">
        <v>44</v>
      </c>
      <c r="G120" s="1953"/>
      <c r="H120" s="2006"/>
      <c r="I120" s="642" t="s">
        <v>23</v>
      </c>
      <c r="J120" s="31">
        <f>0+31.9-31.9</f>
        <v>0</v>
      </c>
      <c r="K120" s="31">
        <f>17.3+31.8</f>
        <v>49.1</v>
      </c>
      <c r="L120" s="1428">
        <v>47</v>
      </c>
    </row>
    <row r="121" spans="1:12" ht="15" customHeight="1" thickBot="1" x14ac:dyDescent="0.3">
      <c r="A121" s="1862"/>
      <c r="B121" s="1892"/>
      <c r="C121" s="1867"/>
      <c r="D121" s="2175"/>
      <c r="E121" s="2117"/>
      <c r="F121" s="1952"/>
      <c r="G121" s="1713"/>
      <c r="H121" s="2006"/>
      <c r="I121" s="941" t="s">
        <v>180</v>
      </c>
      <c r="J121" s="402">
        <v>0</v>
      </c>
      <c r="K121" s="402">
        <f>700+180</f>
        <v>880</v>
      </c>
      <c r="L121" s="1371">
        <v>700</v>
      </c>
    </row>
    <row r="122" spans="1:12" ht="16.5" customHeight="1" thickBot="1" x14ac:dyDescent="0.3">
      <c r="A122" s="1863"/>
      <c r="B122" s="1893"/>
      <c r="C122" s="1868"/>
      <c r="D122" s="2176"/>
      <c r="E122" s="2118"/>
      <c r="F122" s="1952"/>
      <c r="G122" s="1713"/>
      <c r="H122" s="2156"/>
      <c r="I122" s="1035" t="s">
        <v>24</v>
      </c>
      <c r="J122" s="1037">
        <f>J114+J116+J117+J118+J119+J120+J121+J115</f>
        <v>1089</v>
      </c>
      <c r="K122" s="1037">
        <f>K114+K116+K117+K118+K119+K120+K121+K115</f>
        <v>2046.8</v>
      </c>
      <c r="L122" s="522">
        <f>L114+L116+L117+L118+L119+L120+L121+L115</f>
        <v>1864.7</v>
      </c>
    </row>
    <row r="123" spans="1:12" ht="27" customHeight="1" x14ac:dyDescent="0.25">
      <c r="A123" s="1940" t="s">
        <v>15</v>
      </c>
      <c r="B123" s="1864" t="s">
        <v>15</v>
      </c>
      <c r="C123" s="2105" t="s">
        <v>106</v>
      </c>
      <c r="D123" s="2106" t="s">
        <v>181</v>
      </c>
      <c r="E123" s="2123" t="s">
        <v>177</v>
      </c>
      <c r="F123" s="753" t="s">
        <v>20</v>
      </c>
      <c r="G123" s="875" t="s">
        <v>178</v>
      </c>
      <c r="H123" s="2124" t="s">
        <v>182</v>
      </c>
      <c r="I123" s="759" t="s">
        <v>23</v>
      </c>
      <c r="J123" s="816">
        <v>0</v>
      </c>
      <c r="K123" s="816">
        <v>0</v>
      </c>
      <c r="L123" s="816">
        <v>0</v>
      </c>
    </row>
    <row r="124" spans="1:12" ht="24.75" customHeight="1" x14ac:dyDescent="0.25">
      <c r="A124" s="1940"/>
      <c r="B124" s="1864"/>
      <c r="C124" s="2105"/>
      <c r="D124" s="2106"/>
      <c r="E124" s="2123"/>
      <c r="F124" s="606" t="s">
        <v>43</v>
      </c>
      <c r="G124" s="1928" t="s">
        <v>36</v>
      </c>
      <c r="H124" s="2125"/>
      <c r="I124" s="767" t="s">
        <v>23</v>
      </c>
      <c r="J124" s="816">
        <v>0</v>
      </c>
      <c r="K124" s="816">
        <v>0</v>
      </c>
      <c r="L124" s="816">
        <v>0</v>
      </c>
    </row>
    <row r="125" spans="1:12" ht="24" customHeight="1" x14ac:dyDescent="0.25">
      <c r="A125" s="1940"/>
      <c r="B125" s="1864"/>
      <c r="C125" s="2105"/>
      <c r="D125" s="2106"/>
      <c r="E125" s="2123"/>
      <c r="F125" s="606" t="s">
        <v>44</v>
      </c>
      <c r="G125" s="1928"/>
      <c r="H125" s="2125"/>
      <c r="I125" s="767" t="s">
        <v>23</v>
      </c>
      <c r="J125" s="816">
        <v>0</v>
      </c>
      <c r="K125" s="816">
        <v>0</v>
      </c>
      <c r="L125" s="816">
        <v>0</v>
      </c>
    </row>
    <row r="126" spans="1:12" ht="24" customHeight="1" x14ac:dyDescent="0.25">
      <c r="A126" s="1940"/>
      <c r="B126" s="1864"/>
      <c r="C126" s="2105"/>
      <c r="D126" s="2106"/>
      <c r="E126" s="2123"/>
      <c r="F126" s="754" t="s">
        <v>183</v>
      </c>
      <c r="G126" s="1928"/>
      <c r="H126" s="2125"/>
      <c r="I126" s="767" t="s">
        <v>23</v>
      </c>
      <c r="J126" s="816">
        <v>0</v>
      </c>
      <c r="K126" s="816">
        <v>0</v>
      </c>
      <c r="L126" s="816">
        <v>0</v>
      </c>
    </row>
    <row r="127" spans="1:12" ht="20.25" customHeight="1" x14ac:dyDescent="0.25">
      <c r="A127" s="1940"/>
      <c r="B127" s="1864"/>
      <c r="C127" s="2105"/>
      <c r="D127" s="2106"/>
      <c r="E127" s="2123"/>
      <c r="F127" s="2186" t="s">
        <v>47</v>
      </c>
      <c r="G127" s="1929"/>
      <c r="H127" s="2125"/>
      <c r="I127" s="765" t="s">
        <v>23</v>
      </c>
      <c r="J127" s="816">
        <v>0</v>
      </c>
      <c r="K127" s="816">
        <v>0</v>
      </c>
      <c r="L127" s="816">
        <v>0</v>
      </c>
    </row>
    <row r="128" spans="1:12" ht="17.25" customHeight="1" thickBot="1" x14ac:dyDescent="0.3">
      <c r="A128" s="1940"/>
      <c r="B128" s="1864"/>
      <c r="C128" s="2105"/>
      <c r="D128" s="2106"/>
      <c r="E128" s="2123"/>
      <c r="F128" s="2120"/>
      <c r="G128" s="1929"/>
      <c r="H128" s="2125"/>
      <c r="I128" s="1082" t="s">
        <v>24</v>
      </c>
      <c r="J128" s="1083">
        <f>SUM(J123:J127)</f>
        <v>0</v>
      </c>
      <c r="K128" s="1001">
        <f>SUM(K123:K127)</f>
        <v>0</v>
      </c>
      <c r="L128" s="1001">
        <f>SUM(L123:L127)</f>
        <v>0</v>
      </c>
    </row>
    <row r="129" spans="1:12" ht="21.75" customHeight="1" x14ac:dyDescent="0.25">
      <c r="A129" s="1089" t="s">
        <v>15</v>
      </c>
      <c r="B129" s="1947" t="s">
        <v>15</v>
      </c>
      <c r="C129" s="1094" t="s">
        <v>110</v>
      </c>
      <c r="D129" s="2177" t="s">
        <v>184</v>
      </c>
      <c r="E129" s="1092" t="s">
        <v>19</v>
      </c>
      <c r="F129" s="1949" t="s">
        <v>41</v>
      </c>
      <c r="G129" s="2166" t="s">
        <v>36</v>
      </c>
      <c r="H129" s="2169" t="s">
        <v>22</v>
      </c>
      <c r="I129" s="2142" t="s">
        <v>23</v>
      </c>
      <c r="J129" s="2201">
        <v>7.4</v>
      </c>
      <c r="K129" s="2206">
        <v>7.4</v>
      </c>
      <c r="L129" s="2201">
        <v>7.4</v>
      </c>
    </row>
    <row r="130" spans="1:12" ht="21" customHeight="1" x14ac:dyDescent="0.25">
      <c r="A130" s="1090"/>
      <c r="B130" s="1948"/>
      <c r="C130" s="1040"/>
      <c r="D130" s="2178"/>
      <c r="E130" s="1039"/>
      <c r="F130" s="1950"/>
      <c r="G130" s="2167"/>
      <c r="H130" s="2170"/>
      <c r="I130" s="2143"/>
      <c r="J130" s="2202"/>
      <c r="K130" s="2205"/>
      <c r="L130" s="2202"/>
    </row>
    <row r="131" spans="1:12" ht="35.25" customHeight="1" x14ac:dyDescent="0.25">
      <c r="A131" s="1090"/>
      <c r="B131" s="1081"/>
      <c r="C131" s="1040"/>
      <c r="D131" s="2178"/>
      <c r="E131" s="1039"/>
      <c r="F131" s="1129" t="s">
        <v>42</v>
      </c>
      <c r="G131" s="2167"/>
      <c r="H131" s="2170"/>
      <c r="I131" s="707" t="s">
        <v>23</v>
      </c>
      <c r="J131" s="454">
        <v>7.4</v>
      </c>
      <c r="K131" s="454">
        <v>7.4</v>
      </c>
      <c r="L131" s="1048">
        <v>7.4</v>
      </c>
    </row>
    <row r="132" spans="1:12" ht="21" customHeight="1" x14ac:dyDescent="0.25">
      <c r="A132" s="1090"/>
      <c r="B132" s="1081"/>
      <c r="C132" s="1040"/>
      <c r="D132" s="1127"/>
      <c r="E132" s="1039"/>
      <c r="F132" s="1129" t="s">
        <v>44</v>
      </c>
      <c r="G132" s="2167"/>
      <c r="H132" s="2170"/>
      <c r="I132" s="707" t="s">
        <v>23</v>
      </c>
      <c r="J132" s="454">
        <v>51.3</v>
      </c>
      <c r="K132" s="454">
        <v>51.3</v>
      </c>
      <c r="L132" s="1048">
        <v>51.3</v>
      </c>
    </row>
    <row r="133" spans="1:12" ht="21" customHeight="1" x14ac:dyDescent="0.25">
      <c r="A133" s="1090"/>
      <c r="B133" s="1081"/>
      <c r="C133" s="1040"/>
      <c r="D133" s="1127"/>
      <c r="E133" s="1039"/>
      <c r="F133" s="1935" t="s">
        <v>45</v>
      </c>
      <c r="G133" s="2167"/>
      <c r="H133" s="2170"/>
      <c r="I133" s="2142" t="s">
        <v>23</v>
      </c>
      <c r="J133" s="2203">
        <f>49.8-20.9</f>
        <v>28.9</v>
      </c>
      <c r="K133" s="2204">
        <v>49.8</v>
      </c>
      <c r="L133" s="2203">
        <v>49.8</v>
      </c>
    </row>
    <row r="134" spans="1:12" ht="21" customHeight="1" x14ac:dyDescent="0.25">
      <c r="A134" s="1090"/>
      <c r="B134" s="1081"/>
      <c r="C134" s="1040"/>
      <c r="D134" s="1127"/>
      <c r="E134" s="1039"/>
      <c r="F134" s="1935"/>
      <c r="G134" s="2167"/>
      <c r="H134" s="2170"/>
      <c r="I134" s="2143"/>
      <c r="J134" s="2202"/>
      <c r="K134" s="2205"/>
      <c r="L134" s="2202"/>
    </row>
    <row r="135" spans="1:12" ht="30" customHeight="1" x14ac:dyDescent="0.25">
      <c r="A135" s="1090"/>
      <c r="B135" s="1081"/>
      <c r="C135" s="1040"/>
      <c r="D135" s="1127"/>
      <c r="E135" s="1039"/>
      <c r="F135" s="157" t="s">
        <v>46</v>
      </c>
      <c r="G135" s="2167"/>
      <c r="H135" s="2170"/>
      <c r="I135" s="707" t="s">
        <v>23</v>
      </c>
      <c r="J135" s="454">
        <v>25.7</v>
      </c>
      <c r="K135" s="454">
        <v>25.7</v>
      </c>
      <c r="L135" s="1048">
        <v>25.7</v>
      </c>
    </row>
    <row r="136" spans="1:12" ht="28.5" customHeight="1" x14ac:dyDescent="0.25">
      <c r="A136" s="1090"/>
      <c r="B136" s="1081"/>
      <c r="C136" s="1040"/>
      <c r="D136" s="1127"/>
      <c r="E136" s="1039"/>
      <c r="F136" s="157" t="s">
        <v>47</v>
      </c>
      <c r="G136" s="2167"/>
      <c r="H136" s="2170"/>
      <c r="I136" s="707" t="s">
        <v>23</v>
      </c>
      <c r="J136" s="454">
        <f>142.7+0.6+0.5-17.8</f>
        <v>125.99999999999999</v>
      </c>
      <c r="K136" s="454">
        <v>142.69999999999999</v>
      </c>
      <c r="L136" s="1048">
        <v>142.69999999999999</v>
      </c>
    </row>
    <row r="137" spans="1:12" ht="29.25" customHeight="1" x14ac:dyDescent="0.25">
      <c r="A137" s="1090"/>
      <c r="B137" s="1081"/>
      <c r="C137" s="1040"/>
      <c r="D137" s="1127"/>
      <c r="E137" s="1039"/>
      <c r="F137" s="157" t="s">
        <v>48</v>
      </c>
      <c r="G137" s="2167"/>
      <c r="H137" s="2170"/>
      <c r="I137" s="707" t="s">
        <v>23</v>
      </c>
      <c r="J137" s="454">
        <v>26.7</v>
      </c>
      <c r="K137" s="454">
        <v>26.7</v>
      </c>
      <c r="L137" s="1048">
        <v>26.7</v>
      </c>
    </row>
    <row r="138" spans="1:12" ht="33.75" customHeight="1" x14ac:dyDescent="0.25">
      <c r="A138" s="1090"/>
      <c r="B138" s="1081"/>
      <c r="C138" s="1040"/>
      <c r="D138" s="1127"/>
      <c r="E138" s="1039"/>
      <c r="F138" s="158" t="s">
        <v>49</v>
      </c>
      <c r="G138" s="2167"/>
      <c r="H138" s="2170"/>
      <c r="I138" s="707" t="s">
        <v>23</v>
      </c>
      <c r="J138" s="454">
        <f>11+0.6</f>
        <v>11.6</v>
      </c>
      <c r="K138" s="454">
        <v>11</v>
      </c>
      <c r="L138" s="1048">
        <v>11</v>
      </c>
    </row>
    <row r="139" spans="1:12" ht="33.75" customHeight="1" thickBot="1" x14ac:dyDescent="0.3">
      <c r="A139" s="1090"/>
      <c r="B139" s="1081"/>
      <c r="C139" s="1040"/>
      <c r="D139" s="1127"/>
      <c r="E139" s="1039"/>
      <c r="F139" s="2164" t="s">
        <v>51</v>
      </c>
      <c r="G139" s="2167"/>
      <c r="H139" s="2170"/>
      <c r="I139" s="927" t="s">
        <v>23</v>
      </c>
      <c r="J139" s="399">
        <f>7.9+1.4</f>
        <v>9.3000000000000007</v>
      </c>
      <c r="K139" s="399">
        <v>7.9</v>
      </c>
      <c r="L139" s="641">
        <v>7.9</v>
      </c>
    </row>
    <row r="140" spans="1:12" ht="33.75" customHeight="1" thickBot="1" x14ac:dyDescent="0.3">
      <c r="A140" s="1091"/>
      <c r="B140" s="1081"/>
      <c r="C140" s="1040"/>
      <c r="D140" s="1128"/>
      <c r="E140" s="1039"/>
      <c r="F140" s="2165"/>
      <c r="G140" s="2168"/>
      <c r="H140" s="2171"/>
      <c r="I140" s="1423" t="s">
        <v>24</v>
      </c>
      <c r="J140" s="1424">
        <f>J129+J131+J132+J133+J135+J136+J137+J138+J139</f>
        <v>294.3</v>
      </c>
      <c r="K140" s="1424">
        <f t="shared" ref="K140:L140" si="6">K129+K131+K132+K133+K135+K136+K137+K138+K139</f>
        <v>329.89999999999992</v>
      </c>
      <c r="L140" s="1425">
        <f t="shared" si="6"/>
        <v>329.89999999999992</v>
      </c>
    </row>
    <row r="141" spans="1:12" ht="29.25" customHeight="1" thickBot="1" x14ac:dyDescent="0.3">
      <c r="A141" s="1910" t="s">
        <v>15</v>
      </c>
      <c r="B141" s="1947" t="s">
        <v>15</v>
      </c>
      <c r="C141" s="2196" t="s">
        <v>113</v>
      </c>
      <c r="D141" s="1983" t="s">
        <v>185</v>
      </c>
      <c r="E141" s="1872" t="s">
        <v>19</v>
      </c>
      <c r="F141" s="1434" t="s">
        <v>20</v>
      </c>
      <c r="G141" s="1419" t="s">
        <v>112</v>
      </c>
      <c r="H141" s="2172" t="s">
        <v>22</v>
      </c>
      <c r="I141" s="1404" t="s">
        <v>23</v>
      </c>
      <c r="J141" s="38">
        <f>20-13-5-2</f>
        <v>0</v>
      </c>
      <c r="K141" s="846">
        <v>30</v>
      </c>
      <c r="L141" s="38">
        <v>30</v>
      </c>
    </row>
    <row r="142" spans="1:12" ht="18" customHeight="1" x14ac:dyDescent="0.25">
      <c r="A142" s="1910"/>
      <c r="B142" s="1948"/>
      <c r="C142" s="1982"/>
      <c r="D142" s="1983"/>
      <c r="E142" s="1873"/>
      <c r="F142" s="2198" t="s">
        <v>49</v>
      </c>
      <c r="G142" s="2187" t="s">
        <v>171</v>
      </c>
      <c r="H142" s="2172"/>
      <c r="I142" s="1854" t="s">
        <v>23</v>
      </c>
      <c r="J142" s="2191">
        <v>10</v>
      </c>
      <c r="K142" s="2191">
        <v>0</v>
      </c>
      <c r="L142" s="2191">
        <v>0</v>
      </c>
    </row>
    <row r="143" spans="1:12" ht="18" customHeight="1" thickBot="1" x14ac:dyDescent="0.3">
      <c r="A143" s="1910"/>
      <c r="B143" s="1948"/>
      <c r="C143" s="1982"/>
      <c r="D143" s="1983"/>
      <c r="E143" s="1873"/>
      <c r="F143" s="2199"/>
      <c r="G143" s="1915"/>
      <c r="H143" s="2172"/>
      <c r="I143" s="2207"/>
      <c r="J143" s="2208"/>
      <c r="K143" s="2209"/>
      <c r="L143" s="2209"/>
    </row>
    <row r="144" spans="1:12" ht="18" customHeight="1" x14ac:dyDescent="0.25">
      <c r="A144" s="1910"/>
      <c r="B144" s="1948"/>
      <c r="C144" s="1982"/>
      <c r="D144" s="1983"/>
      <c r="E144" s="1873"/>
      <c r="F144" s="1936" t="s">
        <v>47</v>
      </c>
      <c r="G144" s="1915"/>
      <c r="H144" s="2172"/>
      <c r="I144" s="1854" t="s">
        <v>23</v>
      </c>
      <c r="J144" s="2191">
        <v>2</v>
      </c>
      <c r="K144" s="2191">
        <v>0</v>
      </c>
      <c r="L144" s="2191">
        <v>0</v>
      </c>
    </row>
    <row r="145" spans="1:12" ht="18" customHeight="1" thickBot="1" x14ac:dyDescent="0.3">
      <c r="A145" s="1910"/>
      <c r="B145" s="1948"/>
      <c r="C145" s="1982"/>
      <c r="D145" s="1983"/>
      <c r="E145" s="1873"/>
      <c r="F145" s="1937"/>
      <c r="G145" s="1915"/>
      <c r="H145" s="2172"/>
      <c r="I145" s="2200"/>
      <c r="J145" s="2192"/>
      <c r="K145" s="2192"/>
      <c r="L145" s="2192"/>
    </row>
    <row r="146" spans="1:12" ht="39" customHeight="1" thickBot="1" x14ac:dyDescent="0.3">
      <c r="A146" s="1910"/>
      <c r="B146" s="1948"/>
      <c r="C146" s="1982"/>
      <c r="D146" s="1983"/>
      <c r="E146" s="1873"/>
      <c r="F146" s="1437" t="s">
        <v>42</v>
      </c>
      <c r="G146" s="1915"/>
      <c r="H146" s="2172"/>
      <c r="I146" s="776" t="s">
        <v>23</v>
      </c>
      <c r="J146" s="1435">
        <f>0+4</f>
        <v>4</v>
      </c>
      <c r="K146" s="1436">
        <v>0</v>
      </c>
      <c r="L146" s="1435">
        <v>0</v>
      </c>
    </row>
    <row r="147" spans="1:12" ht="39" customHeight="1" thickBot="1" x14ac:dyDescent="0.3">
      <c r="A147" s="1910"/>
      <c r="B147" s="1948"/>
      <c r="C147" s="1982"/>
      <c r="D147" s="1983"/>
      <c r="E147" s="1873"/>
      <c r="F147" s="1451" t="s">
        <v>40</v>
      </c>
      <c r="G147" s="1915"/>
      <c r="H147" s="2172"/>
      <c r="I147" s="776" t="s">
        <v>23</v>
      </c>
      <c r="J147" s="1435">
        <v>5</v>
      </c>
      <c r="K147" s="1436">
        <v>0</v>
      </c>
      <c r="L147" s="1435">
        <v>0</v>
      </c>
    </row>
    <row r="148" spans="1:12" ht="39" customHeight="1" thickBot="1" x14ac:dyDescent="0.3">
      <c r="A148" s="1910"/>
      <c r="B148" s="1948"/>
      <c r="C148" s="1982"/>
      <c r="D148" s="1983"/>
      <c r="E148" s="1887"/>
      <c r="F148" s="1463" t="s">
        <v>45</v>
      </c>
      <c r="G148" s="1915"/>
      <c r="H148" s="2172"/>
      <c r="I148" s="776" t="s">
        <v>23</v>
      </c>
      <c r="J148" s="1435">
        <f>0+9</f>
        <v>9</v>
      </c>
      <c r="K148" s="1436">
        <v>0</v>
      </c>
      <c r="L148" s="1435">
        <v>0</v>
      </c>
    </row>
    <row r="149" spans="1:12" ht="39" customHeight="1" thickBot="1" x14ac:dyDescent="0.3">
      <c r="A149" s="1910"/>
      <c r="B149" s="1948"/>
      <c r="C149" s="1982"/>
      <c r="D149" s="1983"/>
      <c r="E149" s="1873"/>
      <c r="F149" s="2216" t="s">
        <v>38</v>
      </c>
      <c r="G149" s="1915"/>
      <c r="H149" s="2172"/>
      <c r="I149" s="776" t="s">
        <v>23</v>
      </c>
      <c r="J149" s="1435">
        <f>0+2</f>
        <v>2</v>
      </c>
      <c r="K149" s="1436">
        <v>0</v>
      </c>
      <c r="L149" s="1435">
        <v>0</v>
      </c>
    </row>
    <row r="150" spans="1:12" ht="28.5" customHeight="1" thickBot="1" x14ac:dyDescent="0.3">
      <c r="A150" s="1911"/>
      <c r="B150" s="2195"/>
      <c r="C150" s="2197"/>
      <c r="D150" s="2044"/>
      <c r="E150" s="1874"/>
      <c r="F150" s="2217"/>
      <c r="G150" s="2188"/>
      <c r="H150" s="2173"/>
      <c r="I150" s="590" t="s">
        <v>24</v>
      </c>
      <c r="J150" s="843">
        <f>SUM(J141:J148)+J149</f>
        <v>32</v>
      </c>
      <c r="K150" s="1426">
        <f>K141+K142</f>
        <v>30</v>
      </c>
      <c r="L150" s="843">
        <f>L141+L142</f>
        <v>30</v>
      </c>
    </row>
    <row r="151" spans="1:12" ht="25.5" customHeight="1" thickBot="1" x14ac:dyDescent="0.3">
      <c r="A151" s="1940" t="s">
        <v>15</v>
      </c>
      <c r="B151" s="1864" t="s">
        <v>15</v>
      </c>
      <c r="C151" s="1982" t="s">
        <v>186</v>
      </c>
      <c r="D151" s="1983" t="s">
        <v>187</v>
      </c>
      <c r="E151" s="1872" t="s">
        <v>19</v>
      </c>
      <c r="F151" s="1421" t="s">
        <v>20</v>
      </c>
      <c r="G151" s="1915" t="s">
        <v>112</v>
      </c>
      <c r="H151" s="1875" t="s">
        <v>22</v>
      </c>
      <c r="I151" s="1404" t="s">
        <v>23</v>
      </c>
      <c r="J151" s="38">
        <f>6-6</f>
        <v>0</v>
      </c>
      <c r="K151" s="846">
        <v>6</v>
      </c>
      <c r="L151" s="38">
        <v>6</v>
      </c>
    </row>
    <row r="152" spans="1:12" ht="15.75" customHeight="1" x14ac:dyDescent="0.25">
      <c r="A152" s="1940"/>
      <c r="B152" s="1864"/>
      <c r="C152" s="1982"/>
      <c r="D152" s="1983"/>
      <c r="E152" s="1873"/>
      <c r="F152" s="1708" t="s">
        <v>45</v>
      </c>
      <c r="G152" s="1915"/>
      <c r="H152" s="1876"/>
      <c r="I152" s="253" t="s">
        <v>23</v>
      </c>
      <c r="J152" s="559">
        <f>0+6</f>
        <v>6</v>
      </c>
      <c r="K152" s="1427">
        <v>0</v>
      </c>
      <c r="L152" s="559">
        <v>0</v>
      </c>
    </row>
    <row r="153" spans="1:12" ht="21.75" customHeight="1" thickBot="1" x14ac:dyDescent="0.3">
      <c r="A153" s="1940"/>
      <c r="B153" s="1865"/>
      <c r="C153" s="1982"/>
      <c r="D153" s="1983"/>
      <c r="E153" s="1874"/>
      <c r="F153" s="1709"/>
      <c r="G153" s="1915"/>
      <c r="H153" s="1877"/>
      <c r="I153" s="590" t="s">
        <v>24</v>
      </c>
      <c r="J153" s="843">
        <f>J151+J152</f>
        <v>6</v>
      </c>
      <c r="K153" s="1426">
        <f>K151</f>
        <v>6</v>
      </c>
      <c r="L153" s="1420">
        <f>L151</f>
        <v>6</v>
      </c>
    </row>
    <row r="154" spans="1:12" ht="21.75" customHeight="1" thickBot="1" x14ac:dyDescent="0.3">
      <c r="A154" s="1861" t="s">
        <v>15</v>
      </c>
      <c r="B154" s="1864" t="s">
        <v>15</v>
      </c>
      <c r="C154" s="1866" t="s">
        <v>507</v>
      </c>
      <c r="D154" s="1869" t="s">
        <v>508</v>
      </c>
      <c r="E154" s="1872" t="s">
        <v>19</v>
      </c>
      <c r="F154" s="1522" t="s">
        <v>20</v>
      </c>
      <c r="G154" s="1522" t="s">
        <v>112</v>
      </c>
      <c r="H154" s="1875" t="s">
        <v>22</v>
      </c>
      <c r="I154" s="1404" t="s">
        <v>23</v>
      </c>
      <c r="J154" s="38">
        <f>6-6+3</f>
        <v>3</v>
      </c>
      <c r="K154" s="846">
        <v>27</v>
      </c>
      <c r="L154" s="38">
        <v>27</v>
      </c>
    </row>
    <row r="155" spans="1:12" ht="21.75" customHeight="1" thickBot="1" x14ac:dyDescent="0.3">
      <c r="A155" s="1862"/>
      <c r="B155" s="1864"/>
      <c r="C155" s="1867"/>
      <c r="D155" s="1870"/>
      <c r="E155" s="1873"/>
      <c r="F155" s="1523"/>
      <c r="G155" s="1523"/>
      <c r="H155" s="1876"/>
      <c r="I155" s="1404" t="s">
        <v>180</v>
      </c>
      <c r="J155" s="38">
        <f>100</f>
        <v>100</v>
      </c>
      <c r="K155" s="846">
        <v>203</v>
      </c>
      <c r="L155" s="38">
        <v>203</v>
      </c>
    </row>
    <row r="156" spans="1:12" ht="21.75" customHeight="1" x14ac:dyDescent="0.25">
      <c r="A156" s="1862"/>
      <c r="B156" s="1864"/>
      <c r="C156" s="1867"/>
      <c r="D156" s="1870"/>
      <c r="E156" s="1873"/>
      <c r="F156" s="1523"/>
      <c r="G156" s="1523"/>
      <c r="H156" s="1876"/>
      <c r="I156" s="253" t="s">
        <v>87</v>
      </c>
      <c r="J156" s="559">
        <f>15</f>
        <v>15</v>
      </c>
      <c r="K156" s="1427">
        <v>35.799999999999997</v>
      </c>
      <c r="L156" s="559">
        <v>35.799999999999997</v>
      </c>
    </row>
    <row r="157" spans="1:12" ht="31.2" customHeight="1" thickBot="1" x14ac:dyDescent="0.3">
      <c r="A157" s="1863"/>
      <c r="B157" s="1865"/>
      <c r="C157" s="1868"/>
      <c r="D157" s="1871"/>
      <c r="E157" s="1874"/>
      <c r="F157" s="1524"/>
      <c r="G157" s="1524"/>
      <c r="H157" s="1877"/>
      <c r="I157" s="590" t="s">
        <v>24</v>
      </c>
      <c r="J157" s="843">
        <f>SUM(J154:J156)</f>
        <v>118</v>
      </c>
      <c r="K157" s="843">
        <f t="shared" ref="K157:L157" si="7">SUM(K154:K156)</f>
        <v>265.8</v>
      </c>
      <c r="L157" s="843">
        <f t="shared" si="7"/>
        <v>265.8</v>
      </c>
    </row>
    <row r="158" spans="1:12" ht="15" customHeight="1" thickBot="1" x14ac:dyDescent="0.3">
      <c r="A158" s="160" t="s">
        <v>15</v>
      </c>
      <c r="B158" s="934" t="s">
        <v>15</v>
      </c>
      <c r="C158" s="2183" t="s">
        <v>80</v>
      </c>
      <c r="D158" s="2184"/>
      <c r="E158" s="2184"/>
      <c r="F158" s="2184"/>
      <c r="G158" s="2184"/>
      <c r="H158" s="2184"/>
      <c r="I158" s="2184"/>
      <c r="J158" s="1422">
        <f>J18+J38+J41+J51+J81+J83+J85+J105+J113+J122+J150+J153+J140+J157</f>
        <v>20054.82</v>
      </c>
      <c r="K158" s="1422">
        <f t="shared" ref="K158:L158" si="8">K18+K38+K41+K51+K81+K83+K85+K105+K113+K122+K150+K153+K140+K157</f>
        <v>20430.000000000004</v>
      </c>
      <c r="L158" s="1422">
        <f t="shared" si="8"/>
        <v>20252.900000000005</v>
      </c>
    </row>
    <row r="159" spans="1:12" ht="15" customHeight="1" thickBot="1" x14ac:dyDescent="0.3">
      <c r="A159" s="162" t="s">
        <v>15</v>
      </c>
      <c r="B159" s="163" t="s">
        <v>25</v>
      </c>
      <c r="C159" s="935" t="s">
        <v>188</v>
      </c>
      <c r="D159" s="936"/>
      <c r="E159" s="937"/>
      <c r="F159" s="583"/>
      <c r="G159" s="937"/>
      <c r="H159" s="583"/>
      <c r="I159" s="583"/>
      <c r="J159" s="583"/>
      <c r="K159" s="583"/>
      <c r="L159" s="584"/>
    </row>
    <row r="160" spans="1:12" ht="21.75" customHeight="1" x14ac:dyDescent="0.25">
      <c r="A160" s="2000" t="s">
        <v>15</v>
      </c>
      <c r="B160" s="1903" t="s">
        <v>25</v>
      </c>
      <c r="C160" s="1916" t="s">
        <v>15</v>
      </c>
      <c r="D160" s="1918" t="s">
        <v>189</v>
      </c>
      <c r="E160" s="1920"/>
      <c r="F160" s="2003" t="s">
        <v>55</v>
      </c>
      <c r="G160" s="2213" t="s">
        <v>36</v>
      </c>
      <c r="H160" s="2129" t="s">
        <v>190</v>
      </c>
      <c r="I160" s="962" t="s">
        <v>23</v>
      </c>
      <c r="J160" s="965">
        <f>422.6-46.1+7.5+5</f>
        <v>389</v>
      </c>
      <c r="K160" s="965">
        <v>422.6</v>
      </c>
      <c r="L160" s="961">
        <v>422.6</v>
      </c>
    </row>
    <row r="161" spans="1:16" ht="15" customHeight="1" x14ac:dyDescent="0.25">
      <c r="A161" s="2001"/>
      <c r="B161" s="1904"/>
      <c r="C161" s="1917"/>
      <c r="D161" s="1918"/>
      <c r="E161" s="1920"/>
      <c r="F161" s="2210"/>
      <c r="G161" s="1939"/>
      <c r="H161" s="2130"/>
      <c r="I161" s="987" t="s">
        <v>87</v>
      </c>
      <c r="J161" s="988">
        <v>27.9</v>
      </c>
      <c r="K161" s="988">
        <v>0</v>
      </c>
      <c r="L161" s="1130">
        <v>0</v>
      </c>
    </row>
    <row r="162" spans="1:16" ht="20.25" customHeight="1" x14ac:dyDescent="0.25">
      <c r="A162" s="2001"/>
      <c r="B162" s="1904"/>
      <c r="C162" s="1917"/>
      <c r="D162" s="1919"/>
      <c r="E162" s="1920"/>
      <c r="F162" s="2003" t="s">
        <v>53</v>
      </c>
      <c r="G162" s="1939"/>
      <c r="H162" s="2130"/>
      <c r="I162" s="962" t="s">
        <v>23</v>
      </c>
      <c r="J162" s="965">
        <f>845.3-44.3+4.5+3.2</f>
        <v>808.7</v>
      </c>
      <c r="K162" s="965">
        <v>845.3</v>
      </c>
      <c r="L162" s="961">
        <v>845.3</v>
      </c>
    </row>
    <row r="163" spans="1:16" ht="20.25" customHeight="1" x14ac:dyDescent="0.25">
      <c r="A163" s="2001"/>
      <c r="B163" s="1904"/>
      <c r="C163" s="1917"/>
      <c r="D163" s="1919"/>
      <c r="E163" s="1920"/>
      <c r="F163" s="2004"/>
      <c r="G163" s="1939"/>
      <c r="H163" s="2130"/>
      <c r="I163" s="963" t="s">
        <v>87</v>
      </c>
      <c r="J163" s="966">
        <v>60.6</v>
      </c>
      <c r="K163" s="966">
        <v>0</v>
      </c>
      <c r="L163" s="1131">
        <v>0</v>
      </c>
    </row>
    <row r="164" spans="1:16" ht="20.25" customHeight="1" x14ac:dyDescent="0.25">
      <c r="A164" s="2001"/>
      <c r="B164" s="1904"/>
      <c r="C164" s="1917"/>
      <c r="D164" s="1919"/>
      <c r="E164" s="1920"/>
      <c r="F164" s="2004"/>
      <c r="G164" s="1939"/>
      <c r="H164" s="2130"/>
      <c r="I164" s="963" t="s">
        <v>54</v>
      </c>
      <c r="J164" s="966">
        <f>0+56</f>
        <v>56</v>
      </c>
      <c r="K164" s="966">
        <v>0</v>
      </c>
      <c r="L164" s="1131">
        <v>0</v>
      </c>
    </row>
    <row r="165" spans="1:16" ht="20.25" customHeight="1" thickBot="1" x14ac:dyDescent="0.3">
      <c r="A165" s="2001"/>
      <c r="B165" s="1904"/>
      <c r="C165" s="1917"/>
      <c r="D165" s="1919"/>
      <c r="E165" s="1920"/>
      <c r="F165" s="2004"/>
      <c r="G165" s="1939"/>
      <c r="H165" s="2130"/>
      <c r="I165" s="964" t="s">
        <v>30</v>
      </c>
      <c r="J165" s="967">
        <v>0</v>
      </c>
      <c r="K165" s="966">
        <v>0</v>
      </c>
      <c r="L165" s="1132">
        <v>0</v>
      </c>
    </row>
    <row r="166" spans="1:16" ht="18.75" customHeight="1" thickBot="1" x14ac:dyDescent="0.3">
      <c r="A166" s="2001"/>
      <c r="B166" s="1904"/>
      <c r="C166" s="1917"/>
      <c r="D166" s="1919"/>
      <c r="E166" s="1920"/>
      <c r="F166" s="2004"/>
      <c r="G166" s="1939"/>
      <c r="H166" s="2130"/>
      <c r="I166" s="1141" t="s">
        <v>24</v>
      </c>
      <c r="J166" s="1142">
        <f>SUM(J160:J165)</f>
        <v>1342.1999999999998</v>
      </c>
      <c r="K166" s="1143">
        <f>SUM(K160:K165)</f>
        <v>1267.9000000000001</v>
      </c>
      <c r="L166" s="1144">
        <f>SUM(L160:L165)</f>
        <v>1267.9000000000001</v>
      </c>
    </row>
    <row r="167" spans="1:16" ht="29.25" customHeight="1" x14ac:dyDescent="0.25">
      <c r="A167" s="2111" t="s">
        <v>15</v>
      </c>
      <c r="B167" s="1900" t="s">
        <v>25</v>
      </c>
      <c r="C167" s="1975" t="s">
        <v>25</v>
      </c>
      <c r="D167" s="2065" t="s">
        <v>191</v>
      </c>
      <c r="E167" s="1923" t="s">
        <v>19</v>
      </c>
      <c r="F167" s="1135" t="s">
        <v>20</v>
      </c>
      <c r="G167" s="1136" t="s">
        <v>112</v>
      </c>
      <c r="H167" s="1987" t="s">
        <v>192</v>
      </c>
      <c r="I167" s="1137" t="s">
        <v>23</v>
      </c>
      <c r="J167" s="1138">
        <f>3-1.5-0.5</f>
        <v>1</v>
      </c>
      <c r="K167" s="1139">
        <v>3</v>
      </c>
      <c r="L167" s="1140">
        <v>3</v>
      </c>
      <c r="P167" s="21"/>
    </row>
    <row r="168" spans="1:16" ht="26.25" customHeight="1" x14ac:dyDescent="0.25">
      <c r="A168" s="2147"/>
      <c r="B168" s="1901"/>
      <c r="C168" s="1867"/>
      <c r="D168" s="2109"/>
      <c r="E168" s="2032"/>
      <c r="F168" s="851" t="s">
        <v>55</v>
      </c>
      <c r="G168" s="2114" t="s">
        <v>171</v>
      </c>
      <c r="H168" s="1988"/>
      <c r="I168" s="1285" t="s">
        <v>23</v>
      </c>
      <c r="J168" s="1286">
        <f>8.8+1</f>
        <v>9.8000000000000007</v>
      </c>
      <c r="K168" s="1287">
        <v>8.8000000000000007</v>
      </c>
      <c r="L168" s="1288" t="s">
        <v>193</v>
      </c>
    </row>
    <row r="169" spans="1:16" ht="20.25" customHeight="1" thickBot="1" x14ac:dyDescent="0.3">
      <c r="A169" s="2147"/>
      <c r="B169" s="1901"/>
      <c r="C169" s="1867"/>
      <c r="D169" s="2109"/>
      <c r="E169" s="2032"/>
      <c r="F169" s="2189" t="s">
        <v>53</v>
      </c>
      <c r="G169" s="2114"/>
      <c r="H169" s="1988"/>
      <c r="I169" s="1279" t="s">
        <v>23</v>
      </c>
      <c r="J169" s="1289">
        <f>0+0.5</f>
        <v>0.5</v>
      </c>
      <c r="K169" s="1290">
        <v>0</v>
      </c>
      <c r="L169" s="1291">
        <v>0</v>
      </c>
    </row>
    <row r="170" spans="1:16" ht="19.5" customHeight="1" thickBot="1" x14ac:dyDescent="0.3">
      <c r="A170" s="2148"/>
      <c r="B170" s="1902"/>
      <c r="C170" s="2104"/>
      <c r="D170" s="2110"/>
      <c r="E170" s="2032"/>
      <c r="F170" s="2190"/>
      <c r="G170" s="2115"/>
      <c r="H170" s="1989"/>
      <c r="I170" s="1003" t="s">
        <v>24</v>
      </c>
      <c r="J170" s="1004">
        <f>SUM(J167:J169)</f>
        <v>11.3</v>
      </c>
      <c r="K170" s="1116">
        <f t="shared" ref="K170:L170" si="9">SUM(K167:K168)</f>
        <v>11.8</v>
      </c>
      <c r="L170" s="1038">
        <f t="shared" si="9"/>
        <v>3</v>
      </c>
    </row>
    <row r="171" spans="1:16" ht="15" customHeight="1" x14ac:dyDescent="0.25">
      <c r="A171" s="2001" t="s">
        <v>15</v>
      </c>
      <c r="B171" s="1901" t="s">
        <v>25</v>
      </c>
      <c r="C171" s="1867" t="s">
        <v>27</v>
      </c>
      <c r="D171" s="2109" t="s">
        <v>194</v>
      </c>
      <c r="E171" s="2009" t="s">
        <v>19</v>
      </c>
      <c r="F171" s="2214" t="s">
        <v>20</v>
      </c>
      <c r="G171" s="2179" t="s">
        <v>112</v>
      </c>
      <c r="H171" s="2139" t="s">
        <v>190</v>
      </c>
      <c r="I171" s="1133" t="s">
        <v>23</v>
      </c>
      <c r="J171" s="254">
        <f>31-31</f>
        <v>0</v>
      </c>
      <c r="K171" s="711">
        <v>35</v>
      </c>
      <c r="L171" s="1134">
        <v>35</v>
      </c>
    </row>
    <row r="172" spans="1:16" ht="16.5" customHeight="1" thickBot="1" x14ac:dyDescent="0.3">
      <c r="A172" s="2001"/>
      <c r="B172" s="1901"/>
      <c r="C172" s="1867"/>
      <c r="D172" s="2109"/>
      <c r="E172" s="1974"/>
      <c r="F172" s="2215"/>
      <c r="G172" s="2180"/>
      <c r="H172" s="2139"/>
      <c r="I172" s="1411" t="s">
        <v>87</v>
      </c>
      <c r="J172" s="45">
        <f>209.3-3.1</f>
        <v>206.20000000000002</v>
      </c>
      <c r="K172" s="310">
        <v>212.2</v>
      </c>
      <c r="L172" s="1205">
        <v>212.2</v>
      </c>
    </row>
    <row r="173" spans="1:16" ht="24.75" customHeight="1" x14ac:dyDescent="0.25">
      <c r="A173" s="2001"/>
      <c r="B173" s="1901"/>
      <c r="C173" s="2108"/>
      <c r="D173" s="2109"/>
      <c r="E173" s="2032"/>
      <c r="F173" s="1406" t="s">
        <v>195</v>
      </c>
      <c r="G173" s="2101" t="s">
        <v>171</v>
      </c>
      <c r="H173" s="2139"/>
      <c r="I173" s="1412" t="s">
        <v>23</v>
      </c>
      <c r="J173" s="782">
        <f>0+2.8</f>
        <v>2.8</v>
      </c>
      <c r="K173" s="782">
        <v>0</v>
      </c>
      <c r="L173" s="782">
        <v>0</v>
      </c>
    </row>
    <row r="174" spans="1:16" ht="24" x14ac:dyDescent="0.25">
      <c r="A174" s="2001"/>
      <c r="B174" s="1901"/>
      <c r="C174" s="2108"/>
      <c r="D174" s="2109"/>
      <c r="E174" s="2032"/>
      <c r="F174" s="1407" t="s">
        <v>43</v>
      </c>
      <c r="G174" s="2102"/>
      <c r="H174" s="2139"/>
      <c r="I174" s="1413" t="s">
        <v>23</v>
      </c>
      <c r="J174" s="254">
        <v>0</v>
      </c>
      <c r="K174" s="254">
        <v>0</v>
      </c>
      <c r="L174" s="254">
        <v>0</v>
      </c>
    </row>
    <row r="175" spans="1:16" ht="24" x14ac:dyDescent="0.25">
      <c r="A175" s="2001"/>
      <c r="B175" s="1901"/>
      <c r="C175" s="2108"/>
      <c r="D175" s="2109"/>
      <c r="E175" s="2032"/>
      <c r="F175" s="1408" t="s">
        <v>44</v>
      </c>
      <c r="G175" s="2102"/>
      <c r="H175" s="2139"/>
      <c r="I175" s="1413" t="s">
        <v>23</v>
      </c>
      <c r="J175" s="254">
        <f>0+0.8</f>
        <v>0.8</v>
      </c>
      <c r="K175" s="254">
        <v>0</v>
      </c>
      <c r="L175" s="254">
        <v>0</v>
      </c>
    </row>
    <row r="176" spans="1:16" ht="24" x14ac:dyDescent="0.25">
      <c r="A176" s="2001"/>
      <c r="B176" s="1901"/>
      <c r="C176" s="2108"/>
      <c r="D176" s="2109"/>
      <c r="E176" s="2032"/>
      <c r="F176" s="1407" t="s">
        <v>183</v>
      </c>
      <c r="G176" s="2102"/>
      <c r="H176" s="2139"/>
      <c r="I176" s="1413" t="s">
        <v>23</v>
      </c>
      <c r="J176" s="254">
        <f>0+3.1</f>
        <v>3.1</v>
      </c>
      <c r="K176" s="254">
        <v>0</v>
      </c>
      <c r="L176" s="254">
        <v>0</v>
      </c>
    </row>
    <row r="177" spans="1:12" ht="24" x14ac:dyDescent="0.25">
      <c r="A177" s="2001"/>
      <c r="B177" s="1901"/>
      <c r="C177" s="2108"/>
      <c r="D177" s="2109"/>
      <c r="E177" s="2032"/>
      <c r="F177" s="1407" t="s">
        <v>47</v>
      </c>
      <c r="G177" s="2102"/>
      <c r="H177" s="2139"/>
      <c r="I177" s="1413" t="s">
        <v>23</v>
      </c>
      <c r="J177" s="254">
        <f>0+6.6+0.3+0.5</f>
        <v>7.3999999999999995</v>
      </c>
      <c r="K177" s="254">
        <v>0</v>
      </c>
      <c r="L177" s="254">
        <v>0</v>
      </c>
    </row>
    <row r="178" spans="1:12" ht="26.25" customHeight="1" x14ac:dyDescent="0.25">
      <c r="A178" s="2001"/>
      <c r="B178" s="1901"/>
      <c r="C178" s="2108"/>
      <c r="D178" s="2109"/>
      <c r="E178" s="2032"/>
      <c r="F178" s="876" t="s">
        <v>46</v>
      </c>
      <c r="G178" s="2102"/>
      <c r="H178" s="2139"/>
      <c r="I178" s="1413" t="s">
        <v>23</v>
      </c>
      <c r="J178" s="254">
        <f>0+1.2</f>
        <v>1.2</v>
      </c>
      <c r="K178" s="254">
        <v>0</v>
      </c>
      <c r="L178" s="254">
        <v>0</v>
      </c>
    </row>
    <row r="179" spans="1:12" ht="24.6" thickBot="1" x14ac:dyDescent="0.3">
      <c r="A179" s="2001"/>
      <c r="B179" s="1901"/>
      <c r="C179" s="2108"/>
      <c r="D179" s="2109"/>
      <c r="E179" s="2032"/>
      <c r="F179" s="1409" t="s">
        <v>196</v>
      </c>
      <c r="G179" s="2102"/>
      <c r="H179" s="2139"/>
      <c r="I179" s="1410" t="s">
        <v>23</v>
      </c>
      <c r="J179" s="45">
        <f>0+1.2</f>
        <v>1.2</v>
      </c>
      <c r="K179" s="45">
        <v>0</v>
      </c>
      <c r="L179" s="45">
        <v>0</v>
      </c>
    </row>
    <row r="180" spans="1:12" ht="24.6" thickBot="1" x14ac:dyDescent="0.3">
      <c r="A180" s="2001"/>
      <c r="B180" s="1901"/>
      <c r="C180" s="2108"/>
      <c r="D180" s="2109"/>
      <c r="E180" s="2032"/>
      <c r="F180" s="1407" t="s">
        <v>49</v>
      </c>
      <c r="G180" s="2102"/>
      <c r="H180" s="2139"/>
      <c r="I180" s="1416" t="s">
        <v>23</v>
      </c>
      <c r="J180" s="1415">
        <f>0+1.3</f>
        <v>1.3</v>
      </c>
      <c r="K180" s="1415">
        <v>0</v>
      </c>
      <c r="L180" s="1415">
        <v>0</v>
      </c>
    </row>
    <row r="181" spans="1:12" ht="21.75" customHeight="1" x14ac:dyDescent="0.25">
      <c r="A181" s="2001"/>
      <c r="B181" s="1901"/>
      <c r="C181" s="2108"/>
      <c r="D181" s="2109"/>
      <c r="E181" s="2032"/>
      <c r="F181" s="2211" t="s">
        <v>55</v>
      </c>
      <c r="G181" s="2102"/>
      <c r="H181" s="2139"/>
      <c r="I181" s="587" t="s">
        <v>23</v>
      </c>
      <c r="J181" s="254">
        <f>0+2.6</f>
        <v>2.6</v>
      </c>
      <c r="K181" s="254">
        <v>0</v>
      </c>
      <c r="L181" s="254">
        <v>0</v>
      </c>
    </row>
    <row r="182" spans="1:12" ht="12.6" thickBot="1" x14ac:dyDescent="0.3">
      <c r="A182" s="2001"/>
      <c r="B182" s="1901"/>
      <c r="C182" s="2108"/>
      <c r="D182" s="2109"/>
      <c r="E182" s="2032"/>
      <c r="F182" s="2212"/>
      <c r="G182" s="2102"/>
      <c r="H182" s="2139"/>
      <c r="I182" s="1414" t="s">
        <v>87</v>
      </c>
      <c r="J182" s="258">
        <f>2.9+2</f>
        <v>4.9000000000000004</v>
      </c>
      <c r="K182" s="258">
        <v>0</v>
      </c>
      <c r="L182" s="258">
        <v>0</v>
      </c>
    </row>
    <row r="183" spans="1:12" ht="24" x14ac:dyDescent="0.25">
      <c r="A183" s="2001"/>
      <c r="B183" s="1901"/>
      <c r="C183" s="2108"/>
      <c r="D183" s="2109"/>
      <c r="E183" s="2032"/>
      <c r="F183" s="958" t="s">
        <v>53</v>
      </c>
      <c r="G183" s="2102"/>
      <c r="H183" s="2139"/>
      <c r="I183" s="587" t="s">
        <v>23</v>
      </c>
      <c r="J183" s="254">
        <f>0+2.2</f>
        <v>2.2000000000000002</v>
      </c>
      <c r="K183" s="254">
        <v>0</v>
      </c>
      <c r="L183" s="254">
        <v>0</v>
      </c>
    </row>
    <row r="184" spans="1:12" ht="20.25" customHeight="1" x14ac:dyDescent="0.25">
      <c r="A184" s="2001"/>
      <c r="B184" s="1901"/>
      <c r="C184" s="2108"/>
      <c r="D184" s="2109"/>
      <c r="E184" s="2032"/>
      <c r="F184" s="1407" t="s">
        <v>58</v>
      </c>
      <c r="G184" s="2102"/>
      <c r="H184" s="2139"/>
      <c r="I184" s="588" t="s">
        <v>23</v>
      </c>
      <c r="J184" s="254">
        <f>0+4.6+1.1</f>
        <v>5.6999999999999993</v>
      </c>
      <c r="K184" s="254">
        <v>0</v>
      </c>
      <c r="L184" s="254">
        <v>0</v>
      </c>
    </row>
    <row r="185" spans="1:12" ht="26.25" customHeight="1" x14ac:dyDescent="0.25">
      <c r="A185" s="2001"/>
      <c r="B185" s="1901"/>
      <c r="C185" s="2108"/>
      <c r="D185" s="2109"/>
      <c r="E185" s="2032"/>
      <c r="F185" s="1407" t="s">
        <v>59</v>
      </c>
      <c r="G185" s="2102"/>
      <c r="H185" s="2139"/>
      <c r="I185" s="588" t="s">
        <v>23</v>
      </c>
      <c r="J185" s="254">
        <f>0+1.4</f>
        <v>1.4</v>
      </c>
      <c r="K185" s="254">
        <v>0</v>
      </c>
      <c r="L185" s="254">
        <v>0</v>
      </c>
    </row>
    <row r="186" spans="1:12" ht="22.5" customHeight="1" x14ac:dyDescent="0.25">
      <c r="A186" s="2001"/>
      <c r="B186" s="1901"/>
      <c r="C186" s="2108"/>
      <c r="D186" s="2109"/>
      <c r="E186" s="2032"/>
      <c r="F186" s="1407" t="s">
        <v>60</v>
      </c>
      <c r="G186" s="2102"/>
      <c r="H186" s="2139"/>
      <c r="I186" s="588" t="s">
        <v>23</v>
      </c>
      <c r="J186" s="254">
        <f>0+1.6</f>
        <v>1.6</v>
      </c>
      <c r="K186" s="254">
        <v>0</v>
      </c>
      <c r="L186" s="254">
        <v>0</v>
      </c>
    </row>
    <row r="187" spans="1:12" ht="24.75" customHeight="1" x14ac:dyDescent="0.25">
      <c r="A187" s="2001"/>
      <c r="B187" s="1901"/>
      <c r="C187" s="2108"/>
      <c r="D187" s="2109"/>
      <c r="E187" s="2032"/>
      <c r="F187" s="1407" t="s">
        <v>61</v>
      </c>
      <c r="G187" s="2102"/>
      <c r="H187" s="2139"/>
      <c r="I187" s="588" t="s">
        <v>23</v>
      </c>
      <c r="J187" s="254">
        <f>0+1.1</f>
        <v>1.1000000000000001</v>
      </c>
      <c r="K187" s="254">
        <v>0</v>
      </c>
      <c r="L187" s="254">
        <v>0</v>
      </c>
    </row>
    <row r="188" spans="1:12" ht="27" customHeight="1" x14ac:dyDescent="0.25">
      <c r="A188" s="2001"/>
      <c r="B188" s="1901"/>
      <c r="C188" s="2108"/>
      <c r="D188" s="2109"/>
      <c r="E188" s="2032"/>
      <c r="F188" s="1407" t="s">
        <v>62</v>
      </c>
      <c r="G188" s="2102"/>
      <c r="H188" s="2139"/>
      <c r="I188" s="588" t="s">
        <v>23</v>
      </c>
      <c r="J188" s="254">
        <f>0+1.4</f>
        <v>1.4</v>
      </c>
      <c r="K188" s="254">
        <v>0</v>
      </c>
      <c r="L188" s="254">
        <v>0</v>
      </c>
    </row>
    <row r="189" spans="1:12" ht="21.75" customHeight="1" x14ac:dyDescent="0.25">
      <c r="A189" s="2001"/>
      <c r="B189" s="1901"/>
      <c r="C189" s="2108"/>
      <c r="D189" s="2109"/>
      <c r="E189" s="2032"/>
      <c r="F189" s="1407" t="s">
        <v>63</v>
      </c>
      <c r="G189" s="2102"/>
      <c r="H189" s="2139"/>
      <c r="I189" s="588" t="s">
        <v>23</v>
      </c>
      <c r="J189" s="254">
        <f>0+2.7</f>
        <v>2.7</v>
      </c>
      <c r="K189" s="254">
        <v>0</v>
      </c>
      <c r="L189" s="254">
        <v>0</v>
      </c>
    </row>
    <row r="190" spans="1:12" ht="17.25" customHeight="1" thickBot="1" x14ac:dyDescent="0.3">
      <c r="A190" s="2001"/>
      <c r="B190" s="1901"/>
      <c r="C190" s="2108"/>
      <c r="D190" s="2109"/>
      <c r="E190" s="2032"/>
      <c r="F190" s="2140" t="s">
        <v>56</v>
      </c>
      <c r="G190" s="2102"/>
      <c r="H190" s="2139"/>
      <c r="I190" s="1292" t="s">
        <v>23</v>
      </c>
      <c r="J190" s="254">
        <f>0+5.4</f>
        <v>5.4</v>
      </c>
      <c r="K190" s="254">
        <v>0</v>
      </c>
      <c r="L190" s="254">
        <v>0</v>
      </c>
    </row>
    <row r="191" spans="1:12" ht="16.5" customHeight="1" thickBot="1" x14ac:dyDescent="0.3">
      <c r="A191" s="2001"/>
      <c r="B191" s="1901"/>
      <c r="C191" s="2108"/>
      <c r="D191" s="2109"/>
      <c r="E191" s="2138"/>
      <c r="F191" s="2141"/>
      <c r="G191" s="2103"/>
      <c r="H191" s="2139"/>
      <c r="I191" s="564" t="s">
        <v>24</v>
      </c>
      <c r="J191" s="213">
        <f>SUM(J171:J190)</f>
        <v>253</v>
      </c>
      <c r="K191" s="453">
        <f t="shared" ref="K191:L191" si="10">SUM(K171:K190)</f>
        <v>247.2</v>
      </c>
      <c r="L191" s="989">
        <f t="shared" si="10"/>
        <v>247.2</v>
      </c>
    </row>
    <row r="192" spans="1:12" ht="30.75" customHeight="1" x14ac:dyDescent="0.25">
      <c r="A192" s="1907" t="s">
        <v>15</v>
      </c>
      <c r="B192" s="1879" t="s">
        <v>25</v>
      </c>
      <c r="C192" s="1897" t="s">
        <v>31</v>
      </c>
      <c r="D192" s="2157" t="s">
        <v>197</v>
      </c>
      <c r="E192" s="1993" t="s">
        <v>498</v>
      </c>
      <c r="F192" s="1720" t="s">
        <v>20</v>
      </c>
      <c r="G192" s="2160" t="s">
        <v>178</v>
      </c>
      <c r="H192" s="1992" t="s">
        <v>179</v>
      </c>
      <c r="I192" s="991" t="s">
        <v>23</v>
      </c>
      <c r="J192" s="40">
        <f>58.9-37.3</f>
        <v>21.6</v>
      </c>
      <c r="K192" s="40">
        <v>10.9</v>
      </c>
      <c r="L192" s="959">
        <v>4.2</v>
      </c>
    </row>
    <row r="193" spans="1:18" ht="30.75" customHeight="1" x14ac:dyDescent="0.25">
      <c r="A193" s="1908"/>
      <c r="B193" s="1878"/>
      <c r="C193" s="1898"/>
      <c r="D193" s="2158"/>
      <c r="E193" s="1993"/>
      <c r="F193" s="2181"/>
      <c r="G193" s="2161"/>
      <c r="H193" s="1993"/>
      <c r="I193" s="1388" t="s">
        <v>227</v>
      </c>
      <c r="J193" s="1389">
        <v>216.6</v>
      </c>
      <c r="K193" s="1389">
        <v>900</v>
      </c>
      <c r="L193" s="1390">
        <v>152</v>
      </c>
    </row>
    <row r="194" spans="1:18" ht="30.75" customHeight="1" thickBot="1" x14ac:dyDescent="0.3">
      <c r="A194" s="1908"/>
      <c r="B194" s="1878"/>
      <c r="C194" s="1898"/>
      <c r="D194" s="2158"/>
      <c r="E194" s="1993"/>
      <c r="F194" s="1776" t="s">
        <v>53</v>
      </c>
      <c r="G194" s="2161"/>
      <c r="H194" s="1993"/>
      <c r="I194" s="992" t="s">
        <v>23</v>
      </c>
      <c r="J194" s="41">
        <f>9.6+16.7+5</f>
        <v>31.299999999999997</v>
      </c>
      <c r="K194" s="41">
        <v>60</v>
      </c>
      <c r="L194" s="960">
        <v>60</v>
      </c>
    </row>
    <row r="195" spans="1:18" ht="36" customHeight="1" thickBot="1" x14ac:dyDescent="0.3">
      <c r="A195" s="1909"/>
      <c r="B195" s="1896"/>
      <c r="C195" s="1899"/>
      <c r="D195" s="2159"/>
      <c r="E195" s="2107"/>
      <c r="F195" s="2182"/>
      <c r="G195" s="2162"/>
      <c r="H195" s="2163"/>
      <c r="I195" s="990" t="s">
        <v>24</v>
      </c>
      <c r="J195" s="290">
        <f>J192+J194+J193</f>
        <v>269.5</v>
      </c>
      <c r="K195" s="290">
        <f t="shared" ref="K195:L195" si="11">K192+K194+K193</f>
        <v>970.9</v>
      </c>
      <c r="L195" s="290">
        <f t="shared" si="11"/>
        <v>216.2</v>
      </c>
    </row>
    <row r="196" spans="1:18" ht="15.75" customHeight="1" thickBot="1" x14ac:dyDescent="0.3">
      <c r="A196" s="160" t="s">
        <v>15</v>
      </c>
      <c r="B196" s="161" t="s">
        <v>25</v>
      </c>
      <c r="C196" s="164"/>
      <c r="D196" s="168"/>
      <c r="E196" s="168"/>
      <c r="F196" s="168"/>
      <c r="G196" s="168"/>
      <c r="H196" s="168"/>
      <c r="I196" s="591" t="s">
        <v>80</v>
      </c>
      <c r="J196" s="592">
        <f>J166+J170+J191+J195</f>
        <v>1875.9999999999998</v>
      </c>
      <c r="K196" s="592">
        <f>K166+K170+K191+K195</f>
        <v>2497.8000000000002</v>
      </c>
      <c r="L196" s="592">
        <f>L166+L170+L191+L195</f>
        <v>1734.3000000000002</v>
      </c>
    </row>
    <row r="197" spans="1:18" ht="15.75" customHeight="1" thickBot="1" x14ac:dyDescent="0.3">
      <c r="A197" s="169" t="s">
        <v>15</v>
      </c>
      <c r="B197" s="170" t="s">
        <v>27</v>
      </c>
      <c r="C197" s="171" t="s">
        <v>198</v>
      </c>
      <c r="D197" s="172"/>
      <c r="E197" s="172"/>
      <c r="F197" s="172"/>
      <c r="G197" s="172"/>
      <c r="H197" s="172"/>
      <c r="I197" s="593"/>
      <c r="J197" s="594"/>
      <c r="K197" s="595"/>
      <c r="L197" s="596"/>
    </row>
    <row r="198" spans="1:18" ht="24" customHeight="1" thickBot="1" x14ac:dyDescent="0.3">
      <c r="A198" s="1888" t="s">
        <v>15</v>
      </c>
      <c r="B198" s="1879" t="s">
        <v>27</v>
      </c>
      <c r="C198" s="1916" t="s">
        <v>15</v>
      </c>
      <c r="D198" s="2127" t="s">
        <v>199</v>
      </c>
      <c r="E198" s="2129" t="s">
        <v>19</v>
      </c>
      <c r="F198" s="2132" t="s">
        <v>52</v>
      </c>
      <c r="G198" s="2135" t="s">
        <v>171</v>
      </c>
      <c r="H198" s="2193" t="s">
        <v>200</v>
      </c>
      <c r="I198" s="614" t="s">
        <v>23</v>
      </c>
      <c r="J198" s="396">
        <f>34.8+2.2</f>
        <v>37</v>
      </c>
      <c r="K198" s="396">
        <v>37.6</v>
      </c>
      <c r="L198" s="397">
        <v>37.6</v>
      </c>
    </row>
    <row r="199" spans="1:18" ht="23.25" customHeight="1" thickBot="1" x14ac:dyDescent="0.3">
      <c r="A199" s="1889"/>
      <c r="B199" s="1878"/>
      <c r="C199" s="1917"/>
      <c r="D199" s="1919"/>
      <c r="E199" s="2130"/>
      <c r="F199" s="2133"/>
      <c r="G199" s="2136"/>
      <c r="H199" s="2130"/>
      <c r="I199" s="845" t="s">
        <v>87</v>
      </c>
      <c r="J199" s="846">
        <f>1</f>
        <v>1</v>
      </c>
      <c r="K199" s="38">
        <v>0</v>
      </c>
      <c r="L199" s="844">
        <v>0</v>
      </c>
    </row>
    <row r="200" spans="1:18" ht="16.5" customHeight="1" thickBot="1" x14ac:dyDescent="0.3">
      <c r="A200" s="1890"/>
      <c r="B200" s="1896"/>
      <c r="C200" s="2126"/>
      <c r="D200" s="2128"/>
      <c r="E200" s="2131"/>
      <c r="F200" s="2134"/>
      <c r="G200" s="2137"/>
      <c r="H200" s="2194"/>
      <c r="I200" s="590" t="s">
        <v>24</v>
      </c>
      <c r="J200" s="557">
        <f>J198+J199</f>
        <v>38</v>
      </c>
      <c r="K200" s="557">
        <f>K198</f>
        <v>37.6</v>
      </c>
      <c r="L200" s="557">
        <f>L198</f>
        <v>37.6</v>
      </c>
    </row>
    <row r="201" spans="1:18" ht="14.25" customHeight="1" x14ac:dyDescent="0.25">
      <c r="A201" s="160" t="s">
        <v>15</v>
      </c>
      <c r="B201" s="161" t="s">
        <v>27</v>
      </c>
      <c r="C201" s="164"/>
      <c r="D201" s="168"/>
      <c r="E201" s="168"/>
      <c r="F201" s="168"/>
      <c r="G201" s="168"/>
      <c r="H201" s="168"/>
      <c r="I201" s="597" t="s">
        <v>80</v>
      </c>
      <c r="J201" s="598">
        <f>J200</f>
        <v>38</v>
      </c>
      <c r="K201" s="598">
        <f t="shared" ref="K201:L201" si="12">K200</f>
        <v>37.6</v>
      </c>
      <c r="L201" s="598">
        <f t="shared" si="12"/>
        <v>37.6</v>
      </c>
      <c r="R201" s="21"/>
    </row>
    <row r="202" spans="1:18" ht="14.25" customHeight="1" x14ac:dyDescent="0.25">
      <c r="A202" s="162" t="s">
        <v>15</v>
      </c>
      <c r="B202" s="163" t="s">
        <v>31</v>
      </c>
      <c r="C202" s="173" t="s">
        <v>201</v>
      </c>
      <c r="D202" s="1"/>
      <c r="E202" s="1"/>
      <c r="F202" s="1"/>
      <c r="G202" s="1"/>
      <c r="H202" s="1"/>
      <c r="I202" s="599"/>
      <c r="J202" s="594"/>
      <c r="K202" s="595"/>
      <c r="L202" s="596"/>
    </row>
    <row r="203" spans="1:18" ht="24.6" customHeight="1" x14ac:dyDescent="0.25">
      <c r="A203" s="2000" t="s">
        <v>15</v>
      </c>
      <c r="B203" s="1905" t="s">
        <v>31</v>
      </c>
      <c r="C203" s="1894" t="s">
        <v>15</v>
      </c>
      <c r="D203" s="1846" t="s">
        <v>202</v>
      </c>
      <c r="E203" s="2009" t="s">
        <v>19</v>
      </c>
      <c r="F203" s="1717" t="s">
        <v>20</v>
      </c>
      <c r="G203" s="2013" t="s">
        <v>112</v>
      </c>
      <c r="H203" s="2185" t="s">
        <v>22</v>
      </c>
      <c r="I203" s="600" t="s">
        <v>23</v>
      </c>
      <c r="J203" s="601">
        <f>20+8</f>
        <v>28</v>
      </c>
      <c r="K203" s="602">
        <v>20</v>
      </c>
      <c r="L203" s="236">
        <v>20</v>
      </c>
    </row>
    <row r="204" spans="1:18" ht="26.4" customHeight="1" x14ac:dyDescent="0.25">
      <c r="A204" s="2002"/>
      <c r="B204" s="1906"/>
      <c r="C204" s="1895"/>
      <c r="D204" s="1847"/>
      <c r="E204" s="2010"/>
      <c r="F204" s="1719"/>
      <c r="G204" s="2014"/>
      <c r="H204" s="2012"/>
      <c r="I204" s="603" t="s">
        <v>24</v>
      </c>
      <c r="J204" s="604">
        <f>SUM(J203)</f>
        <v>28</v>
      </c>
      <c r="K204" s="605">
        <f t="shared" ref="K204:L204" si="13">SUM(K203)</f>
        <v>20</v>
      </c>
      <c r="L204" s="283">
        <f t="shared" si="13"/>
        <v>20</v>
      </c>
      <c r="P204" s="21"/>
    </row>
    <row r="205" spans="1:18" x14ac:dyDescent="0.25">
      <c r="A205" s="87" t="s">
        <v>15</v>
      </c>
      <c r="B205" s="92" t="s">
        <v>31</v>
      </c>
      <c r="C205" s="1979" t="s">
        <v>80</v>
      </c>
      <c r="D205" s="1980"/>
      <c r="E205" s="1980"/>
      <c r="F205" s="1980"/>
      <c r="G205" s="1980"/>
      <c r="H205" s="1980"/>
      <c r="I205" s="1981"/>
      <c r="J205" s="174">
        <f>J204</f>
        <v>28</v>
      </c>
      <c r="K205" s="175">
        <f t="shared" ref="K205:L205" si="14">K204</f>
        <v>20</v>
      </c>
      <c r="L205" s="176">
        <f t="shared" si="14"/>
        <v>20</v>
      </c>
      <c r="M205" s="21"/>
    </row>
    <row r="206" spans="1:18" x14ac:dyDescent="0.25">
      <c r="A206" s="87" t="s">
        <v>15</v>
      </c>
      <c r="B206" s="63"/>
      <c r="C206" s="64"/>
      <c r="D206" s="64"/>
      <c r="E206" s="64"/>
      <c r="F206" s="64"/>
      <c r="G206" s="64"/>
      <c r="H206" s="64"/>
      <c r="I206" s="177" t="s">
        <v>83</v>
      </c>
      <c r="J206" s="178">
        <f>J158+J196+J201+J205</f>
        <v>21996.82</v>
      </c>
      <c r="K206" s="179">
        <f>K158+K196+K201+K205</f>
        <v>22985.4</v>
      </c>
      <c r="L206" s="180">
        <f>L158+L196+L201+L205</f>
        <v>22044.800000000003</v>
      </c>
    </row>
    <row r="207" spans="1:18" ht="15.75" customHeight="1" x14ac:dyDescent="0.25">
      <c r="A207" s="181" t="s">
        <v>25</v>
      </c>
      <c r="B207" s="2144" t="s">
        <v>203</v>
      </c>
      <c r="C207" s="2145"/>
      <c r="D207" s="2145"/>
      <c r="E207" s="2145"/>
      <c r="F207" s="2145"/>
      <c r="G207" s="2145"/>
      <c r="H207" s="2145"/>
      <c r="I207" s="2145"/>
      <c r="J207" s="2145"/>
      <c r="K207" s="2145"/>
      <c r="L207" s="2146"/>
    </row>
    <row r="208" spans="1:18" x14ac:dyDescent="0.25">
      <c r="A208" s="162" t="s">
        <v>25</v>
      </c>
      <c r="B208" s="183" t="s">
        <v>15</v>
      </c>
      <c r="C208" s="1984" t="s">
        <v>204</v>
      </c>
      <c r="D208" s="1985"/>
      <c r="E208" s="1985"/>
      <c r="F208" s="1985"/>
      <c r="G208" s="1985"/>
      <c r="H208" s="1985"/>
      <c r="I208" s="1985"/>
      <c r="J208" s="1985"/>
      <c r="K208" s="1985"/>
      <c r="L208" s="1986"/>
    </row>
    <row r="209" spans="1:12" ht="15.75" customHeight="1" x14ac:dyDescent="0.25">
      <c r="A209" s="2000" t="s">
        <v>25</v>
      </c>
      <c r="B209" s="1903" t="s">
        <v>15</v>
      </c>
      <c r="C209" s="2007" t="s">
        <v>15</v>
      </c>
      <c r="D209" s="2033" t="s">
        <v>205</v>
      </c>
      <c r="E209" s="2031" t="s">
        <v>19</v>
      </c>
      <c r="F209" s="1712" t="s">
        <v>206</v>
      </c>
      <c r="G209" s="2023" t="s">
        <v>36</v>
      </c>
      <c r="H209" s="2069" t="s">
        <v>22</v>
      </c>
      <c r="I209" s="1015" t="s">
        <v>23</v>
      </c>
      <c r="J209" s="1020">
        <f>11+545+4.7+0.6+0.5+0.4-14.5</f>
        <v>547.70000000000005</v>
      </c>
      <c r="K209" s="1020">
        <f t="shared" ref="K209:L209" si="15">11+545</f>
        <v>556</v>
      </c>
      <c r="L209" s="1012">
        <f t="shared" si="15"/>
        <v>556</v>
      </c>
    </row>
    <row r="210" spans="1:12" ht="17.25" customHeight="1" x14ac:dyDescent="0.25">
      <c r="A210" s="2001"/>
      <c r="B210" s="1904"/>
      <c r="C210" s="2008"/>
      <c r="D210" s="2034"/>
      <c r="E210" s="2032"/>
      <c r="F210" s="1533"/>
      <c r="G210" s="2024"/>
      <c r="H210" s="2070"/>
      <c r="I210" s="1016" t="s">
        <v>87</v>
      </c>
      <c r="J210" s="607">
        <v>37.5</v>
      </c>
      <c r="K210" s="607">
        <v>37.5</v>
      </c>
      <c r="L210" s="1013">
        <v>37.5</v>
      </c>
    </row>
    <row r="211" spans="1:12" ht="24.75" customHeight="1" x14ac:dyDescent="0.25">
      <c r="A211" s="2001"/>
      <c r="B211" s="1904"/>
      <c r="C211" s="2008"/>
      <c r="D211" s="2034"/>
      <c r="E211" s="2032"/>
      <c r="F211" s="755" t="s">
        <v>57</v>
      </c>
      <c r="G211" s="2024"/>
      <c r="H211" s="2070"/>
      <c r="I211" s="1017" t="s">
        <v>23</v>
      </c>
      <c r="J211" s="607">
        <f>25+113.9+27.4+5</f>
        <v>171.3</v>
      </c>
      <c r="K211" s="607">
        <f t="shared" ref="K211:L211" si="16">25+113.9</f>
        <v>138.9</v>
      </c>
      <c r="L211" s="1013">
        <f t="shared" si="16"/>
        <v>138.9</v>
      </c>
    </row>
    <row r="212" spans="1:12" ht="24" x14ac:dyDescent="0.25">
      <c r="A212" s="2001"/>
      <c r="B212" s="1904"/>
      <c r="C212" s="2008"/>
      <c r="D212" s="2034"/>
      <c r="E212" s="2032"/>
      <c r="F212" s="755" t="s">
        <v>58</v>
      </c>
      <c r="G212" s="2024"/>
      <c r="H212" s="2070"/>
      <c r="I212" s="1018" t="s">
        <v>23</v>
      </c>
      <c r="J212" s="607">
        <f>257.4+345.7+28.5+1.8+6.8+6</f>
        <v>646.19999999999982</v>
      </c>
      <c r="K212" s="607">
        <f t="shared" ref="K212:L212" si="17">257.4+345.7</f>
        <v>603.09999999999991</v>
      </c>
      <c r="L212" s="1013">
        <f t="shared" si="17"/>
        <v>603.09999999999991</v>
      </c>
    </row>
    <row r="213" spans="1:12" ht="22.5" customHeight="1" x14ac:dyDescent="0.25">
      <c r="A213" s="2001"/>
      <c r="B213" s="1904"/>
      <c r="C213" s="2008"/>
      <c r="D213" s="2034"/>
      <c r="E213" s="2032"/>
      <c r="F213" s="756" t="s">
        <v>59</v>
      </c>
      <c r="G213" s="2024"/>
      <c r="H213" s="2070"/>
      <c r="I213" s="1018" t="s">
        <v>23</v>
      </c>
      <c r="J213" s="607">
        <f>15.5+102.4+1.1+7.2+19.1</f>
        <v>145.30000000000001</v>
      </c>
      <c r="K213" s="607">
        <f t="shared" ref="K213:L213" si="18">15.5+102.4</f>
        <v>117.9</v>
      </c>
      <c r="L213" s="1013">
        <f t="shared" si="18"/>
        <v>117.9</v>
      </c>
    </row>
    <row r="214" spans="1:12" ht="22.5" customHeight="1" x14ac:dyDescent="0.25">
      <c r="A214" s="2001"/>
      <c r="B214" s="1904"/>
      <c r="C214" s="2008"/>
      <c r="D214" s="2034"/>
      <c r="E214" s="2032"/>
      <c r="F214" s="755" t="s">
        <v>60</v>
      </c>
      <c r="G214" s="2024"/>
      <c r="H214" s="2070"/>
      <c r="I214" s="1018" t="s">
        <v>23</v>
      </c>
      <c r="J214" s="607">
        <f>14+77.3+3</f>
        <v>94.3</v>
      </c>
      <c r="K214" s="607">
        <f t="shared" ref="K214:L214" si="19">14+77.3</f>
        <v>91.3</v>
      </c>
      <c r="L214" s="1013">
        <f t="shared" si="19"/>
        <v>91.3</v>
      </c>
    </row>
    <row r="215" spans="1:12" ht="22.5" customHeight="1" x14ac:dyDescent="0.25">
      <c r="A215" s="2001"/>
      <c r="B215" s="1904"/>
      <c r="C215" s="2008"/>
      <c r="D215" s="2034"/>
      <c r="E215" s="2032"/>
      <c r="F215" s="755" t="s">
        <v>61</v>
      </c>
      <c r="G215" s="2024"/>
      <c r="H215" s="2070"/>
      <c r="I215" s="1018" t="s">
        <v>23</v>
      </c>
      <c r="J215" s="607">
        <f>30+108.5+4.1+1.9+20.9</f>
        <v>165.4</v>
      </c>
      <c r="K215" s="607">
        <f t="shared" ref="K215:L215" si="20">30+108.5</f>
        <v>138.5</v>
      </c>
      <c r="L215" s="1013">
        <f t="shared" si="20"/>
        <v>138.5</v>
      </c>
    </row>
    <row r="216" spans="1:12" x14ac:dyDescent="0.25">
      <c r="A216" s="2001"/>
      <c r="B216" s="1904"/>
      <c r="C216" s="2008"/>
      <c r="D216" s="2034"/>
      <c r="E216" s="2032"/>
      <c r="F216" s="757" t="s">
        <v>62</v>
      </c>
      <c r="G216" s="2024"/>
      <c r="H216" s="2070"/>
      <c r="I216" s="1018" t="s">
        <v>23</v>
      </c>
      <c r="J216" s="607">
        <f>25+94.5+3.2</f>
        <v>122.7</v>
      </c>
      <c r="K216" s="607">
        <f t="shared" ref="K216:L216" si="21">25+94.5</f>
        <v>119.5</v>
      </c>
      <c r="L216" s="1013">
        <f t="shared" si="21"/>
        <v>119.5</v>
      </c>
    </row>
    <row r="217" spans="1:12" ht="20.25" customHeight="1" x14ac:dyDescent="0.25">
      <c r="A217" s="2001"/>
      <c r="B217" s="1904"/>
      <c r="C217" s="2008"/>
      <c r="D217" s="2034"/>
      <c r="E217" s="2032"/>
      <c r="F217" s="1532" t="s">
        <v>63</v>
      </c>
      <c r="G217" s="2024"/>
      <c r="H217" s="2070"/>
      <c r="I217" s="1019" t="s">
        <v>23</v>
      </c>
      <c r="J217" s="1021">
        <f>30+148.9+13.7+1.4+5</f>
        <v>199</v>
      </c>
      <c r="K217" s="1021">
        <f t="shared" ref="K217:L217" si="22">30+148.9</f>
        <v>178.9</v>
      </c>
      <c r="L217" s="1014">
        <f t="shared" si="22"/>
        <v>178.9</v>
      </c>
    </row>
    <row r="218" spans="1:12" ht="21" customHeight="1" thickBot="1" x14ac:dyDescent="0.3">
      <c r="A218" s="2001"/>
      <c r="B218" s="1904"/>
      <c r="C218" s="2008"/>
      <c r="D218" s="2034"/>
      <c r="E218" s="2032"/>
      <c r="F218" s="1525"/>
      <c r="G218" s="2025"/>
      <c r="H218" s="2071"/>
      <c r="I218" s="608" t="s">
        <v>24</v>
      </c>
      <c r="J218" s="290">
        <f>SUM(J209:J217)</f>
        <v>2129.3999999999996</v>
      </c>
      <c r="K218" s="290">
        <f t="shared" ref="K218:L218" si="23">SUM(K209:K217)</f>
        <v>1981.6000000000001</v>
      </c>
      <c r="L218" s="30">
        <f t="shared" si="23"/>
        <v>1981.6000000000001</v>
      </c>
    </row>
    <row r="219" spans="1:12" ht="39.75" hidden="1" customHeight="1" x14ac:dyDescent="0.25">
      <c r="A219" s="186" t="s">
        <v>25</v>
      </c>
      <c r="B219" s="187" t="s">
        <v>15</v>
      </c>
      <c r="C219" s="2074" t="s">
        <v>25</v>
      </c>
      <c r="D219" s="2149" t="s">
        <v>207</v>
      </c>
      <c r="E219" s="2005" t="s">
        <v>177</v>
      </c>
      <c r="F219" s="758" t="s">
        <v>206</v>
      </c>
      <c r="G219" s="2026" t="s">
        <v>36</v>
      </c>
      <c r="H219" s="2072" t="s">
        <v>208</v>
      </c>
      <c r="I219" s="558" t="s">
        <v>23</v>
      </c>
      <c r="J219" s="609"/>
      <c r="K219" s="610"/>
      <c r="L219" s="611"/>
    </row>
    <row r="220" spans="1:12" ht="27" hidden="1" customHeight="1" x14ac:dyDescent="0.25">
      <c r="A220" s="155"/>
      <c r="B220" s="168"/>
      <c r="C220" s="2075"/>
      <c r="D220" s="2150"/>
      <c r="E220" s="2006"/>
      <c r="F220" s="755" t="s">
        <v>57</v>
      </c>
      <c r="G220" s="2027"/>
      <c r="H220" s="2072"/>
      <c r="I220" s="558" t="s">
        <v>23</v>
      </c>
      <c r="J220" s="609"/>
      <c r="K220" s="610"/>
      <c r="L220" s="612"/>
    </row>
    <row r="221" spans="1:12" ht="25.5" hidden="1" customHeight="1" x14ac:dyDescent="0.25">
      <c r="A221" s="155"/>
      <c r="B221" s="168"/>
      <c r="C221" s="2075"/>
      <c r="D221" s="2150"/>
      <c r="E221" s="2006"/>
      <c r="F221" s="755" t="s">
        <v>58</v>
      </c>
      <c r="G221" s="2027"/>
      <c r="H221" s="2072"/>
      <c r="I221" s="558" t="s">
        <v>23</v>
      </c>
      <c r="J221" s="609"/>
      <c r="K221" s="610"/>
      <c r="L221" s="612"/>
    </row>
    <row r="222" spans="1:12" ht="24.75" hidden="1" customHeight="1" x14ac:dyDescent="0.25">
      <c r="A222" s="155"/>
      <c r="B222" s="168"/>
      <c r="C222" s="2075"/>
      <c r="D222" s="2150"/>
      <c r="E222" s="2006"/>
      <c r="F222" s="756" t="s">
        <v>59</v>
      </c>
      <c r="G222" s="2027"/>
      <c r="H222" s="2072"/>
      <c r="I222" s="558" t="s">
        <v>23</v>
      </c>
      <c r="J222" s="609"/>
      <c r="K222" s="610"/>
      <c r="L222" s="612"/>
    </row>
    <row r="223" spans="1:12" ht="24" hidden="1" x14ac:dyDescent="0.25">
      <c r="A223" s="155"/>
      <c r="B223" s="168"/>
      <c r="C223" s="2075"/>
      <c r="D223" s="2151"/>
      <c r="E223" s="2006"/>
      <c r="F223" s="755" t="s">
        <v>60</v>
      </c>
      <c r="G223" s="2027"/>
      <c r="H223" s="2072"/>
      <c r="I223" s="558" t="s">
        <v>23</v>
      </c>
      <c r="J223" s="1293"/>
      <c r="K223" s="610"/>
      <c r="L223" s="612"/>
    </row>
    <row r="224" spans="1:12" ht="24" hidden="1" x14ac:dyDescent="0.25">
      <c r="A224" s="155"/>
      <c r="B224" s="168"/>
      <c r="C224" s="2075"/>
      <c r="D224" s="2151"/>
      <c r="E224" s="2006"/>
      <c r="F224" s="755" t="s">
        <v>61</v>
      </c>
      <c r="G224" s="2027"/>
      <c r="H224" s="2072"/>
      <c r="I224" s="558" t="s">
        <v>23</v>
      </c>
      <c r="J224" s="609"/>
      <c r="K224" s="610"/>
      <c r="L224" s="612"/>
    </row>
    <row r="225" spans="1:12" hidden="1" x14ac:dyDescent="0.25">
      <c r="A225" s="155"/>
      <c r="B225" s="168"/>
      <c r="C225" s="2075"/>
      <c r="D225" s="2151"/>
      <c r="E225" s="2006"/>
      <c r="F225" s="757" t="s">
        <v>62</v>
      </c>
      <c r="G225" s="2027"/>
      <c r="H225" s="2072"/>
      <c r="I225" s="558" t="s">
        <v>23</v>
      </c>
      <c r="J225" s="609"/>
      <c r="K225" s="610"/>
      <c r="L225" s="612"/>
    </row>
    <row r="226" spans="1:12" ht="15" hidden="1" customHeight="1" x14ac:dyDescent="0.25">
      <c r="A226" s="155"/>
      <c r="B226" s="168"/>
      <c r="C226" s="2075"/>
      <c r="D226" s="2151"/>
      <c r="E226" s="2006"/>
      <c r="F226" s="1532" t="s">
        <v>63</v>
      </c>
      <c r="G226" s="2027"/>
      <c r="H226" s="2072"/>
      <c r="I226" s="558" t="s">
        <v>23</v>
      </c>
      <c r="J226" s="1294"/>
      <c r="K226" s="610"/>
      <c r="L226" s="613"/>
    </row>
    <row r="227" spans="1:12" hidden="1" x14ac:dyDescent="0.25">
      <c r="A227" s="155"/>
      <c r="B227" s="168"/>
      <c r="C227" s="2075"/>
      <c r="D227" s="2152"/>
      <c r="E227" s="2006"/>
      <c r="F227" s="1525"/>
      <c r="G227" s="2027"/>
      <c r="H227" s="2073"/>
      <c r="I227" s="972" t="s">
        <v>24</v>
      </c>
      <c r="J227" s="973">
        <f>SUM(J219:J226)</f>
        <v>0</v>
      </c>
      <c r="K227" s="974">
        <f>SUM(K219:K226)</f>
        <v>0</v>
      </c>
      <c r="L227" s="478">
        <f>SUM(L219:L226)</f>
        <v>0</v>
      </c>
    </row>
    <row r="228" spans="1:12" ht="12.6" thickBot="1" x14ac:dyDescent="0.3">
      <c r="A228" s="968" t="s">
        <v>25</v>
      </c>
      <c r="B228" s="466" t="s">
        <v>15</v>
      </c>
      <c r="C228" s="2028" t="s">
        <v>80</v>
      </c>
      <c r="D228" s="2029"/>
      <c r="E228" s="2029"/>
      <c r="F228" s="2029"/>
      <c r="G228" s="2029"/>
      <c r="H228" s="2029"/>
      <c r="I228" s="2030"/>
      <c r="J228" s="969">
        <f>J218+J227</f>
        <v>2129.3999999999996</v>
      </c>
      <c r="K228" s="970">
        <f>K218+K227</f>
        <v>1981.6000000000001</v>
      </c>
      <c r="L228" s="971">
        <f>L218+L227</f>
        <v>1981.6000000000001</v>
      </c>
    </row>
    <row r="229" spans="1:12" ht="12.6" thickBot="1" x14ac:dyDescent="0.3">
      <c r="A229" s="160" t="s">
        <v>25</v>
      </c>
      <c r="B229" s="161" t="s">
        <v>25</v>
      </c>
      <c r="C229" s="975" t="s">
        <v>209</v>
      </c>
      <c r="D229" s="976"/>
      <c r="E229" s="976"/>
      <c r="F229" s="976"/>
      <c r="G229" s="976"/>
      <c r="H229" s="976"/>
      <c r="I229" s="976"/>
      <c r="J229" s="977"/>
      <c r="K229" s="976"/>
      <c r="L229" s="189"/>
    </row>
    <row r="230" spans="1:12" ht="23.25" customHeight="1" x14ac:dyDescent="0.25">
      <c r="A230" s="1888" t="s">
        <v>25</v>
      </c>
      <c r="B230" s="1879" t="s">
        <v>25</v>
      </c>
      <c r="C230" s="1897" t="s">
        <v>15</v>
      </c>
      <c r="D230" s="1990" t="s">
        <v>210</v>
      </c>
      <c r="E230" s="1992" t="s">
        <v>19</v>
      </c>
      <c r="F230" s="1522" t="s">
        <v>20</v>
      </c>
      <c r="G230" s="2019" t="s">
        <v>112</v>
      </c>
      <c r="H230" s="2021" t="s">
        <v>211</v>
      </c>
      <c r="I230" s="614" t="s">
        <v>23</v>
      </c>
      <c r="J230" s="396">
        <f>25-7</f>
        <v>18</v>
      </c>
      <c r="K230" s="396">
        <v>30</v>
      </c>
      <c r="L230" s="397">
        <v>30</v>
      </c>
    </row>
    <row r="231" spans="1:12" ht="19.5" customHeight="1" thickBot="1" x14ac:dyDescent="0.3">
      <c r="A231" s="1890"/>
      <c r="B231" s="1896"/>
      <c r="C231" s="1899"/>
      <c r="D231" s="1991"/>
      <c r="E231" s="1993"/>
      <c r="F231" s="1719"/>
      <c r="G231" s="2020"/>
      <c r="H231" s="2022"/>
      <c r="I231" s="836" t="s">
        <v>24</v>
      </c>
      <c r="J231" s="790">
        <f>SUM(J230)</f>
        <v>18</v>
      </c>
      <c r="K231" s="837">
        <f t="shared" ref="K231:L231" si="24">SUM(K230)</f>
        <v>30</v>
      </c>
      <c r="L231" s="791">
        <f t="shared" si="24"/>
        <v>30</v>
      </c>
    </row>
    <row r="232" spans="1:12" ht="26.25" customHeight="1" x14ac:dyDescent="0.25">
      <c r="A232" s="1588" t="s">
        <v>25</v>
      </c>
      <c r="B232" s="1590" t="s">
        <v>25</v>
      </c>
      <c r="C232" s="1926" t="s">
        <v>25</v>
      </c>
      <c r="D232" s="1869" t="s">
        <v>212</v>
      </c>
      <c r="E232" s="1996" t="s">
        <v>177</v>
      </c>
      <c r="F232" s="835" t="s">
        <v>20</v>
      </c>
      <c r="G232" s="1998" t="s">
        <v>178</v>
      </c>
      <c r="H232" s="1994" t="s">
        <v>211</v>
      </c>
      <c r="I232" s="701" t="s">
        <v>23</v>
      </c>
      <c r="J232" s="94">
        <v>0</v>
      </c>
      <c r="K232" s="94">
        <v>0</v>
      </c>
      <c r="L232" s="94">
        <v>0</v>
      </c>
    </row>
    <row r="233" spans="1:12" ht="20.25" customHeight="1" x14ac:dyDescent="0.25">
      <c r="A233" s="1589"/>
      <c r="B233" s="1591"/>
      <c r="C233" s="1946"/>
      <c r="D233" s="1870"/>
      <c r="E233" s="1997"/>
      <c r="F233" s="1532" t="s">
        <v>63</v>
      </c>
      <c r="G233" s="1999"/>
      <c r="H233" s="1995"/>
      <c r="I233" s="1295" t="s">
        <v>23</v>
      </c>
      <c r="J233" s="1296">
        <f>65-39</f>
        <v>26</v>
      </c>
      <c r="K233" s="1296">
        <v>0</v>
      </c>
      <c r="L233" s="1296">
        <v>0</v>
      </c>
    </row>
    <row r="234" spans="1:12" ht="25.5" customHeight="1" x14ac:dyDescent="0.25">
      <c r="A234" s="1589"/>
      <c r="B234" s="1591"/>
      <c r="C234" s="1946"/>
      <c r="D234" s="1870"/>
      <c r="E234" s="1997"/>
      <c r="F234" s="1525"/>
      <c r="G234" s="1999"/>
      <c r="H234" s="1995"/>
      <c r="I234" s="700" t="s">
        <v>24</v>
      </c>
      <c r="J234" s="213">
        <f>SUM(J232:J233)</f>
        <v>26</v>
      </c>
      <c r="K234" s="213">
        <f>SUM(K232:K232)</f>
        <v>0</v>
      </c>
      <c r="L234" s="929">
        <f>SUM(L232:L232)</f>
        <v>0</v>
      </c>
    </row>
    <row r="235" spans="1:12" ht="25.5" customHeight="1" x14ac:dyDescent="0.25">
      <c r="A235" s="1971" t="s">
        <v>25</v>
      </c>
      <c r="B235" s="2039" t="s">
        <v>25</v>
      </c>
      <c r="C235" s="2041" t="s">
        <v>27</v>
      </c>
      <c r="D235" s="2043" t="s">
        <v>213</v>
      </c>
      <c r="E235" s="2045" t="s">
        <v>177</v>
      </c>
      <c r="F235" s="1712" t="s">
        <v>63</v>
      </c>
      <c r="G235" s="2047" t="s">
        <v>171</v>
      </c>
      <c r="H235" s="2049" t="s">
        <v>211</v>
      </c>
      <c r="I235" s="1150" t="s">
        <v>23</v>
      </c>
      <c r="J235" s="1151">
        <f>100-30-10</f>
        <v>60</v>
      </c>
      <c r="K235" s="1000">
        <v>0</v>
      </c>
      <c r="L235" s="1152">
        <v>0</v>
      </c>
    </row>
    <row r="236" spans="1:12" ht="35.25" customHeight="1" x14ac:dyDescent="0.25">
      <c r="A236" s="1978"/>
      <c r="B236" s="2040"/>
      <c r="C236" s="2042"/>
      <c r="D236" s="2044"/>
      <c r="E236" s="2046"/>
      <c r="F236" s="1886"/>
      <c r="G236" s="2048"/>
      <c r="H236" s="2050"/>
      <c r="I236" s="214" t="s">
        <v>24</v>
      </c>
      <c r="J236" s="290">
        <f>J235</f>
        <v>60</v>
      </c>
      <c r="K236" s="290">
        <f>SUM(K234:K234)</f>
        <v>0</v>
      </c>
      <c r="L236" s="993">
        <f>SUM(L234:L234)</f>
        <v>0</v>
      </c>
    </row>
    <row r="237" spans="1:12" ht="18" customHeight="1" x14ac:dyDescent="0.25">
      <c r="A237" s="76" t="s">
        <v>25</v>
      </c>
      <c r="B237" s="77" t="s">
        <v>25</v>
      </c>
      <c r="C237" s="2035" t="s">
        <v>80</v>
      </c>
      <c r="D237" s="2038"/>
      <c r="E237" s="2038"/>
      <c r="F237" s="2038"/>
      <c r="G237" s="2038"/>
      <c r="H237" s="2038"/>
      <c r="I237" s="2037"/>
      <c r="J237" s="615">
        <f>J231+J234+J236</f>
        <v>104</v>
      </c>
      <c r="K237" s="616">
        <f>K231+K234</f>
        <v>30</v>
      </c>
      <c r="L237" s="930">
        <f>L231+L234</f>
        <v>30</v>
      </c>
    </row>
    <row r="238" spans="1:12" ht="14.25" customHeight="1" x14ac:dyDescent="0.25">
      <c r="A238" s="162" t="s">
        <v>25</v>
      </c>
      <c r="B238" s="183" t="s">
        <v>27</v>
      </c>
      <c r="C238" s="184" t="s">
        <v>214</v>
      </c>
      <c r="D238" s="1"/>
      <c r="E238" s="1"/>
      <c r="F238" s="1"/>
      <c r="G238" s="1"/>
      <c r="H238" s="1"/>
      <c r="I238" s="981"/>
      <c r="J238" s="982"/>
      <c r="K238" s="983"/>
      <c r="L238" s="617"/>
    </row>
    <row r="239" spans="1:12" ht="16.5" customHeight="1" x14ac:dyDescent="0.25">
      <c r="A239" s="2000" t="s">
        <v>25</v>
      </c>
      <c r="B239" s="1903" t="s">
        <v>27</v>
      </c>
      <c r="C239" s="2015" t="s">
        <v>15</v>
      </c>
      <c r="D239" s="2017" t="s">
        <v>215</v>
      </c>
      <c r="E239" s="2009" t="s">
        <v>19</v>
      </c>
      <c r="F239" s="1717" t="s">
        <v>20</v>
      </c>
      <c r="G239" s="2013" t="s">
        <v>112</v>
      </c>
      <c r="H239" s="2011" t="s">
        <v>216</v>
      </c>
      <c r="I239" s="978" t="s">
        <v>23</v>
      </c>
      <c r="J239" s="979">
        <f>105-74.4-4.3-6.8-1.9-12.2</f>
        <v>5.399999999999995</v>
      </c>
      <c r="K239" s="979">
        <v>105</v>
      </c>
      <c r="L239" s="980">
        <v>105</v>
      </c>
    </row>
    <row r="240" spans="1:12" ht="23.25" customHeight="1" x14ac:dyDescent="0.25">
      <c r="A240" s="2002"/>
      <c r="B240" s="1904"/>
      <c r="C240" s="2016"/>
      <c r="D240" s="2018"/>
      <c r="E240" s="2010"/>
      <c r="F240" s="1719"/>
      <c r="G240" s="2014"/>
      <c r="H240" s="2012"/>
      <c r="I240" s="984" t="s">
        <v>24</v>
      </c>
      <c r="J240" s="985">
        <f>SUM(J239)</f>
        <v>5.399999999999995</v>
      </c>
      <c r="K240" s="985">
        <f t="shared" ref="K240:L240" si="25">SUM(K239)</f>
        <v>105</v>
      </c>
      <c r="L240" s="986">
        <f t="shared" si="25"/>
        <v>105</v>
      </c>
    </row>
    <row r="241" spans="1:17" ht="15" customHeight="1" x14ac:dyDescent="0.25">
      <c r="A241" s="87" t="s">
        <v>25</v>
      </c>
      <c r="B241" s="84" t="s">
        <v>27</v>
      </c>
      <c r="C241" s="2035" t="s">
        <v>80</v>
      </c>
      <c r="D241" s="2036"/>
      <c r="E241" s="2036"/>
      <c r="F241" s="2036"/>
      <c r="G241" s="2036"/>
      <c r="H241" s="2036"/>
      <c r="I241" s="2037"/>
      <c r="J241" s="615">
        <f>J240</f>
        <v>5.399999999999995</v>
      </c>
      <c r="K241" s="615">
        <f t="shared" ref="K241:L241" si="26">K240</f>
        <v>105</v>
      </c>
      <c r="L241" s="621">
        <f t="shared" si="26"/>
        <v>105</v>
      </c>
    </row>
    <row r="242" spans="1:17" ht="18" customHeight="1" x14ac:dyDescent="0.25">
      <c r="A242" s="87" t="s">
        <v>25</v>
      </c>
      <c r="B242" s="63"/>
      <c r="C242" s="64"/>
      <c r="D242" s="64"/>
      <c r="E242" s="64"/>
      <c r="F242" s="64"/>
      <c r="G242" s="64"/>
      <c r="H242" s="64"/>
      <c r="I242" s="177" t="s">
        <v>83</v>
      </c>
      <c r="J242" s="98">
        <f>J228+J237+J241</f>
        <v>2238.7999999999997</v>
      </c>
      <c r="K242" s="98">
        <f>K228+K237+K241</f>
        <v>2116.6000000000004</v>
      </c>
      <c r="L242" s="98">
        <f>L228+L237+L241</f>
        <v>2116.6000000000004</v>
      </c>
      <c r="P242" s="21"/>
    </row>
    <row r="243" spans="1:17" ht="16.5" customHeight="1" x14ac:dyDescent="0.25">
      <c r="A243" s="191" t="s">
        <v>25</v>
      </c>
      <c r="B243" s="2067" t="s">
        <v>141</v>
      </c>
      <c r="C243" s="2068"/>
      <c r="D243" s="2068"/>
      <c r="E243" s="2068"/>
      <c r="F243" s="2068"/>
      <c r="G243" s="2068"/>
      <c r="H243" s="2068"/>
      <c r="I243" s="2068"/>
      <c r="J243" s="619">
        <f>J206+J242+0.4</f>
        <v>24236.02</v>
      </c>
      <c r="K243" s="619">
        <f>K206+K242</f>
        <v>25102</v>
      </c>
      <c r="L243" s="620">
        <f>L206+L242</f>
        <v>24161.4</v>
      </c>
      <c r="O243" s="21"/>
    </row>
    <row r="244" spans="1:17" x14ac:dyDescent="0.25">
      <c r="A244" s="116" t="s">
        <v>142</v>
      </c>
      <c r="B244" s="117"/>
      <c r="C244" s="117"/>
      <c r="D244" s="117"/>
      <c r="E244" s="117"/>
      <c r="F244" s="117"/>
      <c r="G244" s="117"/>
      <c r="H244" s="117"/>
      <c r="I244" s="117"/>
      <c r="J244" s="143"/>
      <c r="K244" s="144"/>
    </row>
    <row r="245" spans="1:17" x14ac:dyDescent="0.25">
      <c r="A245" s="118"/>
      <c r="B245" s="117"/>
      <c r="C245" s="117"/>
      <c r="D245" s="117"/>
      <c r="E245" s="117"/>
      <c r="F245" s="117"/>
      <c r="G245" s="117"/>
      <c r="H245" s="117"/>
      <c r="I245" s="117"/>
      <c r="J245" s="143"/>
      <c r="K245" s="144"/>
    </row>
    <row r="246" spans="1:17" x14ac:dyDescent="0.25">
      <c r="A246" s="118"/>
      <c r="B246" s="117"/>
      <c r="C246" s="123"/>
      <c r="D246" s="192" t="s">
        <v>143</v>
      </c>
      <c r="E246" s="192"/>
      <c r="F246" s="192"/>
      <c r="G246" s="123"/>
      <c r="H246" s="123"/>
      <c r="I246" s="123"/>
      <c r="J246" s="143"/>
      <c r="K246" s="144"/>
    </row>
    <row r="247" spans="1:17" x14ac:dyDescent="0.25">
      <c r="A247" s="120"/>
      <c r="B247" s="120"/>
      <c r="C247" s="193"/>
      <c r="D247" s="122"/>
      <c r="E247" s="123"/>
      <c r="F247" s="123"/>
      <c r="G247" s="123"/>
      <c r="H247" s="123"/>
      <c r="I247" s="123"/>
      <c r="J247" s="143"/>
      <c r="K247" s="144"/>
      <c r="Q247" s="21"/>
    </row>
    <row r="248" spans="1:17" ht="22.8" x14ac:dyDescent="0.25">
      <c r="D248" s="1649" t="s">
        <v>144</v>
      </c>
      <c r="E248" s="1650"/>
      <c r="F248" s="1650"/>
      <c r="G248" s="1650"/>
      <c r="H248" s="1650"/>
      <c r="I248" s="1650"/>
      <c r="J248" s="124" t="s">
        <v>10</v>
      </c>
      <c r="K248" s="125" t="s">
        <v>11</v>
      </c>
      <c r="L248" s="126" t="s">
        <v>12</v>
      </c>
    </row>
    <row r="249" spans="1:17" x14ac:dyDescent="0.25">
      <c r="D249" s="1659" t="s">
        <v>145</v>
      </c>
      <c r="E249" s="1660"/>
      <c r="F249" s="1660"/>
      <c r="G249" s="1660"/>
      <c r="H249" s="1660"/>
      <c r="I249" s="1660"/>
      <c r="J249" s="127"/>
      <c r="K249" s="128"/>
      <c r="L249" s="128"/>
    </row>
    <row r="250" spans="1:17" ht="15" customHeight="1" x14ac:dyDescent="0.25">
      <c r="D250" s="1632" t="s">
        <v>146</v>
      </c>
      <c r="E250" s="1633"/>
      <c r="F250" s="1633"/>
      <c r="G250" s="1633"/>
      <c r="H250" s="1633"/>
      <c r="I250" s="1633"/>
      <c r="J250" s="129">
        <f>J251+J257+J258</f>
        <v>24019.420000000002</v>
      </c>
      <c r="K250" s="129">
        <f t="shared" ref="K250:L250" si="27">K251+K257+K258</f>
        <v>24201.999999999996</v>
      </c>
      <c r="L250" s="129">
        <f t="shared" si="27"/>
        <v>24009.399999999998</v>
      </c>
    </row>
    <row r="251" spans="1:17" ht="15" customHeight="1" x14ac:dyDescent="0.25">
      <c r="D251" s="1645" t="s">
        <v>147</v>
      </c>
      <c r="E251" s="1646"/>
      <c r="F251" s="1646"/>
      <c r="G251" s="1646"/>
      <c r="H251" s="1646"/>
      <c r="I251" s="1646"/>
      <c r="J251" s="130">
        <f>SUM(J252:J256)</f>
        <v>23387.120000000003</v>
      </c>
      <c r="K251" s="130">
        <f t="shared" ref="K251:L251" si="28">SUM(K252:K256)</f>
        <v>24201.999999999996</v>
      </c>
      <c r="L251" s="130">
        <f t="shared" si="28"/>
        <v>24009.399999999998</v>
      </c>
    </row>
    <row r="252" spans="1:17" ht="15" customHeight="1" x14ac:dyDescent="0.25">
      <c r="D252" s="1651" t="s">
        <v>148</v>
      </c>
      <c r="E252" s="1652"/>
      <c r="F252" s="1652"/>
      <c r="G252" s="1652"/>
      <c r="H252" s="1652"/>
      <c r="I252" s="1653"/>
      <c r="J252" s="131">
        <f>SUMIF($I13:$I244,"SBN",J13:J244)</f>
        <v>5938.42</v>
      </c>
      <c r="K252" s="131">
        <f>SUMIF($I13:$I244,"SBN",K13:K244)</f>
        <v>5551.8999999999987</v>
      </c>
      <c r="L252" s="131">
        <f>SUMIF($I13:$I244,"SBN",L13:L244)</f>
        <v>5539.3</v>
      </c>
    </row>
    <row r="253" spans="1:17" ht="15" customHeight="1" x14ac:dyDescent="0.25">
      <c r="D253" s="1635" t="s">
        <v>149</v>
      </c>
      <c r="E253" s="1636"/>
      <c r="F253" s="1636"/>
      <c r="G253" s="1636"/>
      <c r="H253" s="1636"/>
      <c r="I253" s="1637"/>
      <c r="J253" s="131">
        <f>SUMIF($I13:$I244,"VBD",J13:J244)</f>
        <v>17286.600000000002</v>
      </c>
      <c r="K253" s="131">
        <f>SUMIF($I13:$I244,"VBD",K13:K244)</f>
        <v>16567.099999999999</v>
      </c>
      <c r="L253" s="131">
        <f>SUMIF($I13:$I244,"VBD",L13:L244)</f>
        <v>16567.099999999999</v>
      </c>
    </row>
    <row r="254" spans="1:17" ht="15" customHeight="1" x14ac:dyDescent="0.25">
      <c r="D254" s="1635" t="s">
        <v>150</v>
      </c>
      <c r="E254" s="1636"/>
      <c r="F254" s="1636"/>
      <c r="G254" s="1636"/>
      <c r="H254" s="1636"/>
      <c r="I254" s="1637"/>
      <c r="J254" s="131">
        <f>SUMIF($I13:$I244,"PĮ",J13:J244)</f>
        <v>62.1</v>
      </c>
      <c r="K254" s="131">
        <f>SUMIF($I13:$I244,"PĮ",K13:K244)</f>
        <v>0</v>
      </c>
      <c r="L254" s="131">
        <f>SUMIF($I13:$I244,"PĮ",L13:L244)</f>
        <v>0</v>
      </c>
    </row>
    <row r="255" spans="1:17" ht="15" customHeight="1" x14ac:dyDescent="0.25">
      <c r="D255" s="1635" t="s">
        <v>151</v>
      </c>
      <c r="E255" s="1636"/>
      <c r="F255" s="1636"/>
      <c r="G255" s="1636"/>
      <c r="H255" s="1636"/>
      <c r="I255" s="1637"/>
      <c r="J255" s="131">
        <f>SUMIF($I13:$I244,"TPP",J13:J244)</f>
        <v>0</v>
      </c>
      <c r="K255" s="131">
        <f>SUMIF($I13:$I244,"TPP",K13:K244)</f>
        <v>0</v>
      </c>
      <c r="L255" s="131">
        <f>SUMIF($I13:$I244,"TPP",L13:L244)</f>
        <v>0</v>
      </c>
    </row>
    <row r="256" spans="1:17" ht="14.4" customHeight="1" x14ac:dyDescent="0.25">
      <c r="D256" s="1635" t="s">
        <v>152</v>
      </c>
      <c r="E256" s="1636"/>
      <c r="F256" s="1636"/>
      <c r="G256" s="1636"/>
      <c r="H256" s="1636"/>
      <c r="I256" s="1637"/>
      <c r="J256" s="131">
        <f>SUMIF($I13:$I244,"ES",J13:J244)</f>
        <v>100</v>
      </c>
      <c r="K256" s="131">
        <f>SUMIF($I13:$I244,"ES",K13:K244)</f>
        <v>2083</v>
      </c>
      <c r="L256" s="131">
        <f>SUMIF($I13:$I244,"ES",L13:L244)</f>
        <v>1903</v>
      </c>
    </row>
    <row r="257" spans="4:12" ht="15.75" customHeight="1" x14ac:dyDescent="0.25">
      <c r="D257" s="1635" t="s">
        <v>153</v>
      </c>
      <c r="E257" s="1636"/>
      <c r="F257" s="1636"/>
      <c r="G257" s="1636"/>
      <c r="H257" s="1636"/>
      <c r="I257" s="1637"/>
      <c r="J257" s="131">
        <f>SUMIF($I13:$I244,"SL",J13:J244)</f>
        <v>631.79999999999995</v>
      </c>
      <c r="K257" s="131">
        <f>SUMIF($I13:$I244,"SL",K13:K244)</f>
        <v>0</v>
      </c>
      <c r="L257" s="131">
        <f>SUMIF($I13:$I244,"SL",L13:L244)</f>
        <v>0</v>
      </c>
    </row>
    <row r="258" spans="4:12" ht="15.75" customHeight="1" x14ac:dyDescent="0.25">
      <c r="D258" s="1635" t="s">
        <v>154</v>
      </c>
      <c r="E258" s="1636"/>
      <c r="F258" s="1636"/>
      <c r="G258" s="1636"/>
      <c r="H258" s="1636"/>
      <c r="I258" s="1637"/>
      <c r="J258" s="132">
        <f>SUMIF($I13:$I244,"AML",J13:J244)</f>
        <v>0.5</v>
      </c>
      <c r="K258" s="132">
        <f>SUMIF($I13:$I244,"AML",K13:K244)</f>
        <v>0</v>
      </c>
      <c r="L258" s="132">
        <f>SUMIF($I13:$I244,"AML",L13:L244)</f>
        <v>0</v>
      </c>
    </row>
    <row r="259" spans="4:12" ht="15.75" customHeight="1" x14ac:dyDescent="0.25">
      <c r="D259" s="1632" t="s">
        <v>155</v>
      </c>
      <c r="E259" s="1633"/>
      <c r="F259" s="1633"/>
      <c r="G259" s="1633"/>
      <c r="H259" s="1633"/>
      <c r="I259" s="1634"/>
      <c r="J259" s="129">
        <v>0</v>
      </c>
      <c r="K259" s="129">
        <v>0</v>
      </c>
      <c r="L259" s="194">
        <v>0</v>
      </c>
    </row>
    <row r="260" spans="4:12" ht="27" customHeight="1" x14ac:dyDescent="0.25">
      <c r="D260" s="1629" t="s">
        <v>156</v>
      </c>
      <c r="E260" s="1630"/>
      <c r="F260" s="1630"/>
      <c r="G260" s="1630"/>
      <c r="H260" s="1630"/>
      <c r="I260" s="1631"/>
      <c r="J260" s="135">
        <v>0</v>
      </c>
      <c r="K260" s="135">
        <v>0</v>
      </c>
      <c r="L260" s="195">
        <v>0</v>
      </c>
    </row>
    <row r="261" spans="4:12" ht="15" customHeight="1" x14ac:dyDescent="0.25">
      <c r="D261" s="1632" t="s">
        <v>157</v>
      </c>
      <c r="E261" s="1633"/>
      <c r="F261" s="1633"/>
      <c r="G261" s="1633"/>
      <c r="H261" s="1633"/>
      <c r="I261" s="1634"/>
      <c r="J261" s="129">
        <f>J250+J259</f>
        <v>24019.420000000002</v>
      </c>
      <c r="K261" s="129">
        <f t="shared" ref="K261:L261" si="29">K250+K259</f>
        <v>24201.999999999996</v>
      </c>
      <c r="L261" s="129">
        <f t="shared" si="29"/>
        <v>24009.399999999998</v>
      </c>
    </row>
    <row r="262" spans="4:12" ht="15.75" customHeight="1" x14ac:dyDescent="0.25">
      <c r="D262" s="1635" t="s">
        <v>158</v>
      </c>
      <c r="E262" s="1636"/>
      <c r="F262" s="1636"/>
      <c r="G262" s="1636"/>
      <c r="H262" s="1636"/>
      <c r="I262" s="1637"/>
      <c r="J262" s="138">
        <v>0</v>
      </c>
      <c r="K262" s="138">
        <v>0</v>
      </c>
      <c r="L262" s="196">
        <v>0</v>
      </c>
    </row>
    <row r="263" spans="4:12" x14ac:dyDescent="0.25">
      <c r="D263" s="1626" t="s">
        <v>159</v>
      </c>
      <c r="E263" s="1627"/>
      <c r="F263" s="1627"/>
      <c r="G263" s="1627"/>
      <c r="H263" s="1627"/>
      <c r="I263" s="1628"/>
      <c r="J263" s="831">
        <f>J261</f>
        <v>24019.420000000002</v>
      </c>
      <c r="K263" s="141">
        <f t="shared" ref="K263:L263" si="30">K261</f>
        <v>24201.999999999996</v>
      </c>
      <c r="L263" s="141">
        <f t="shared" si="30"/>
        <v>24009.399999999998</v>
      </c>
    </row>
    <row r="264" spans="4:12" x14ac:dyDescent="0.25">
      <c r="E264" s="142"/>
      <c r="J264" s="143"/>
      <c r="K264" s="144"/>
    </row>
    <row r="265" spans="4:12" x14ac:dyDescent="0.25">
      <c r="E265" s="142"/>
      <c r="J265" s="143"/>
      <c r="K265" s="144"/>
    </row>
    <row r="266" spans="4:12" x14ac:dyDescent="0.25">
      <c r="E266" s="142"/>
      <c r="J266" s="143"/>
      <c r="K266" s="144"/>
    </row>
    <row r="267" spans="4:12" x14ac:dyDescent="0.25">
      <c r="E267" s="142"/>
      <c r="J267" s="143"/>
      <c r="K267" s="144"/>
    </row>
  </sheetData>
  <mergeCells count="307">
    <mergeCell ref="J144:J145"/>
    <mergeCell ref="K144:K145"/>
    <mergeCell ref="L144:L145"/>
    <mergeCell ref="H198:H200"/>
    <mergeCell ref="B141:B150"/>
    <mergeCell ref="C141:C150"/>
    <mergeCell ref="F142:F143"/>
    <mergeCell ref="I144:I145"/>
    <mergeCell ref="L129:L130"/>
    <mergeCell ref="J133:J134"/>
    <mergeCell ref="I133:I134"/>
    <mergeCell ref="K133:K134"/>
    <mergeCell ref="L133:L134"/>
    <mergeCell ref="J129:J130"/>
    <mergeCell ref="K129:K130"/>
    <mergeCell ref="I142:I143"/>
    <mergeCell ref="J142:J143"/>
    <mergeCell ref="K142:K143"/>
    <mergeCell ref="L142:L143"/>
    <mergeCell ref="F160:F161"/>
    <mergeCell ref="F181:F182"/>
    <mergeCell ref="G160:G166"/>
    <mergeCell ref="F171:F172"/>
    <mergeCell ref="F149:F150"/>
    <mergeCell ref="E203:E204"/>
    <mergeCell ref="G114:G116"/>
    <mergeCell ref="H114:H122"/>
    <mergeCell ref="D192:D195"/>
    <mergeCell ref="G192:G195"/>
    <mergeCell ref="H192:H195"/>
    <mergeCell ref="D171:D191"/>
    <mergeCell ref="F139:F140"/>
    <mergeCell ref="G129:G140"/>
    <mergeCell ref="H129:H140"/>
    <mergeCell ref="H141:H150"/>
    <mergeCell ref="D114:D122"/>
    <mergeCell ref="D129:D131"/>
    <mergeCell ref="H160:H166"/>
    <mergeCell ref="E192:E195"/>
    <mergeCell ref="G171:G172"/>
    <mergeCell ref="F192:F193"/>
    <mergeCell ref="F194:F195"/>
    <mergeCell ref="C158:I158"/>
    <mergeCell ref="H203:H204"/>
    <mergeCell ref="G203:G204"/>
    <mergeCell ref="F127:F128"/>
    <mergeCell ref="G142:G150"/>
    <mergeCell ref="F169:F170"/>
    <mergeCell ref="D263:I263"/>
    <mergeCell ref="A123:A128"/>
    <mergeCell ref="B123:B128"/>
    <mergeCell ref="C123:C128"/>
    <mergeCell ref="D123:D128"/>
    <mergeCell ref="E123:E128"/>
    <mergeCell ref="H123:H128"/>
    <mergeCell ref="B198:B200"/>
    <mergeCell ref="C198:C200"/>
    <mergeCell ref="D198:D200"/>
    <mergeCell ref="E198:E200"/>
    <mergeCell ref="F198:F200"/>
    <mergeCell ref="G198:G200"/>
    <mergeCell ref="A171:A191"/>
    <mergeCell ref="E171:E191"/>
    <mergeCell ref="H171:H191"/>
    <mergeCell ref="F190:F191"/>
    <mergeCell ref="I129:I130"/>
    <mergeCell ref="B207:L207"/>
    <mergeCell ref="A167:A170"/>
    <mergeCell ref="A160:A166"/>
    <mergeCell ref="D141:D150"/>
    <mergeCell ref="D219:D227"/>
    <mergeCell ref="F203:F204"/>
    <mergeCell ref="A16:A18"/>
    <mergeCell ref="G173:G191"/>
    <mergeCell ref="C167:C170"/>
    <mergeCell ref="C86:C105"/>
    <mergeCell ref="D86:D105"/>
    <mergeCell ref="E86:E105"/>
    <mergeCell ref="C171:C191"/>
    <mergeCell ref="D167:D170"/>
    <mergeCell ref="E167:E170"/>
    <mergeCell ref="A84:A85"/>
    <mergeCell ref="B84:B85"/>
    <mergeCell ref="A19:A21"/>
    <mergeCell ref="A22:A24"/>
    <mergeCell ref="A25:A27"/>
    <mergeCell ref="A28:A30"/>
    <mergeCell ref="A31:A33"/>
    <mergeCell ref="A34:A36"/>
    <mergeCell ref="A37:A38"/>
    <mergeCell ref="G168:G170"/>
    <mergeCell ref="E114:E122"/>
    <mergeCell ref="F114:F116"/>
    <mergeCell ref="B16:B18"/>
    <mergeCell ref="B19:B21"/>
    <mergeCell ref="B22:B24"/>
    <mergeCell ref="L11:L12"/>
    <mergeCell ref="H10:H12"/>
    <mergeCell ref="C16:C18"/>
    <mergeCell ref="D16:D18"/>
    <mergeCell ref="E16:E18"/>
    <mergeCell ref="F16:F18"/>
    <mergeCell ref="G16:G18"/>
    <mergeCell ref="H16:H18"/>
    <mergeCell ref="G20:G38"/>
    <mergeCell ref="H19:H38"/>
    <mergeCell ref="F37:F38"/>
    <mergeCell ref="C15:L15"/>
    <mergeCell ref="C19:C38"/>
    <mergeCell ref="D19:D38"/>
    <mergeCell ref="E19:E38"/>
    <mergeCell ref="B8:K8"/>
    <mergeCell ref="A10:A12"/>
    <mergeCell ref="B10:B12"/>
    <mergeCell ref="C10:C12"/>
    <mergeCell ref="D10:D12"/>
    <mergeCell ref="E10:E12"/>
    <mergeCell ref="F10:F12"/>
    <mergeCell ref="G10:G12"/>
    <mergeCell ref="I10:I12"/>
    <mergeCell ref="K11:K12"/>
    <mergeCell ref="J11:J12"/>
    <mergeCell ref="I1:L1"/>
    <mergeCell ref="I2:L2"/>
    <mergeCell ref="I6:L6"/>
    <mergeCell ref="D262:I262"/>
    <mergeCell ref="D257:I257"/>
    <mergeCell ref="D259:I259"/>
    <mergeCell ref="D258:I258"/>
    <mergeCell ref="D260:I260"/>
    <mergeCell ref="D261:I261"/>
    <mergeCell ref="D254:I254"/>
    <mergeCell ref="D253:I253"/>
    <mergeCell ref="D255:I255"/>
    <mergeCell ref="D256:I256"/>
    <mergeCell ref="H82:H83"/>
    <mergeCell ref="D82:D83"/>
    <mergeCell ref="D252:I252"/>
    <mergeCell ref="D251:I251"/>
    <mergeCell ref="D250:I250"/>
    <mergeCell ref="D249:I249"/>
    <mergeCell ref="B243:I243"/>
    <mergeCell ref="D248:I248"/>
    <mergeCell ref="H209:H218"/>
    <mergeCell ref="H219:H227"/>
    <mergeCell ref="C219:C227"/>
    <mergeCell ref="B25:B27"/>
    <mergeCell ref="G82:G83"/>
    <mergeCell ref="F82:F83"/>
    <mergeCell ref="B28:B30"/>
    <mergeCell ref="B31:B33"/>
    <mergeCell ref="B34:B36"/>
    <mergeCell ref="B37:B38"/>
    <mergeCell ref="F40:F41"/>
    <mergeCell ref="C39:C41"/>
    <mergeCell ref="D52:D81"/>
    <mergeCell ref="D42:D51"/>
    <mergeCell ref="C42:C51"/>
    <mergeCell ref="E42:E51"/>
    <mergeCell ref="F52:F53"/>
    <mergeCell ref="F54:F55"/>
    <mergeCell ref="F56:F57"/>
    <mergeCell ref="F58:F59"/>
    <mergeCell ref="D39:D41"/>
    <mergeCell ref="B39:B41"/>
    <mergeCell ref="C241:I241"/>
    <mergeCell ref="C237:I237"/>
    <mergeCell ref="B235:B236"/>
    <mergeCell ref="C235:C236"/>
    <mergeCell ref="D235:D236"/>
    <mergeCell ref="E235:E236"/>
    <mergeCell ref="F235:F236"/>
    <mergeCell ref="G235:G236"/>
    <mergeCell ref="H235:H236"/>
    <mergeCell ref="B209:B218"/>
    <mergeCell ref="E219:E227"/>
    <mergeCell ref="C209:C218"/>
    <mergeCell ref="A239:A240"/>
    <mergeCell ref="B239:B240"/>
    <mergeCell ref="E239:E240"/>
    <mergeCell ref="F239:F240"/>
    <mergeCell ref="H239:H240"/>
    <mergeCell ref="G239:G240"/>
    <mergeCell ref="C239:C240"/>
    <mergeCell ref="D239:D240"/>
    <mergeCell ref="B230:B231"/>
    <mergeCell ref="B232:B234"/>
    <mergeCell ref="A232:A234"/>
    <mergeCell ref="F230:F231"/>
    <mergeCell ref="G230:G231"/>
    <mergeCell ref="H230:H231"/>
    <mergeCell ref="G209:G218"/>
    <mergeCell ref="G219:G227"/>
    <mergeCell ref="C228:I228"/>
    <mergeCell ref="F217:F218"/>
    <mergeCell ref="F226:F227"/>
    <mergeCell ref="E209:E218"/>
    <mergeCell ref="D209:D218"/>
    <mergeCell ref="A235:A236"/>
    <mergeCell ref="C205:I205"/>
    <mergeCell ref="B151:B153"/>
    <mergeCell ref="C151:C153"/>
    <mergeCell ref="D151:D153"/>
    <mergeCell ref="E151:E153"/>
    <mergeCell ref="C208:L208"/>
    <mergeCell ref="H167:H170"/>
    <mergeCell ref="F152:F153"/>
    <mergeCell ref="F209:F210"/>
    <mergeCell ref="A230:A231"/>
    <mergeCell ref="C230:C231"/>
    <mergeCell ref="D230:D231"/>
    <mergeCell ref="E230:E231"/>
    <mergeCell ref="H232:H234"/>
    <mergeCell ref="D232:D234"/>
    <mergeCell ref="C232:C234"/>
    <mergeCell ref="E232:E234"/>
    <mergeCell ref="G232:G234"/>
    <mergeCell ref="F233:F234"/>
    <mergeCell ref="A209:A218"/>
    <mergeCell ref="H151:H153"/>
    <mergeCell ref="A203:A204"/>
    <mergeCell ref="F162:F166"/>
    <mergeCell ref="H39:H41"/>
    <mergeCell ref="F78:F81"/>
    <mergeCell ref="A52:A81"/>
    <mergeCell ref="B52:B81"/>
    <mergeCell ref="C52:C81"/>
    <mergeCell ref="B129:B130"/>
    <mergeCell ref="F129:F130"/>
    <mergeCell ref="F120:F122"/>
    <mergeCell ref="G117:G122"/>
    <mergeCell ref="E39:E41"/>
    <mergeCell ref="G39:G41"/>
    <mergeCell ref="F50:F51"/>
    <mergeCell ref="F60:F61"/>
    <mergeCell ref="E52:E81"/>
    <mergeCell ref="G42:G51"/>
    <mergeCell ref="F104:F105"/>
    <mergeCell ref="G86:G105"/>
    <mergeCell ref="F84:F85"/>
    <mergeCell ref="H84:H85"/>
    <mergeCell ref="A82:A83"/>
    <mergeCell ref="E82:E83"/>
    <mergeCell ref="C84:C85"/>
    <mergeCell ref="A42:A51"/>
    <mergeCell ref="B42:B51"/>
    <mergeCell ref="G84:G85"/>
    <mergeCell ref="A39:A41"/>
    <mergeCell ref="G151:G153"/>
    <mergeCell ref="C160:C166"/>
    <mergeCell ref="D160:D166"/>
    <mergeCell ref="E160:E166"/>
    <mergeCell ref="D84:D85"/>
    <mergeCell ref="E84:E85"/>
    <mergeCell ref="C82:C83"/>
    <mergeCell ref="B82:B83"/>
    <mergeCell ref="G124:G128"/>
    <mergeCell ref="F62:F63"/>
    <mergeCell ref="F68:F69"/>
    <mergeCell ref="F70:F71"/>
    <mergeCell ref="G52:G81"/>
    <mergeCell ref="F66:F67"/>
    <mergeCell ref="F133:F134"/>
    <mergeCell ref="F144:F145"/>
    <mergeCell ref="F74:F75"/>
    <mergeCell ref="F76:F77"/>
    <mergeCell ref="F72:F73"/>
    <mergeCell ref="A106:A113"/>
    <mergeCell ref="A151:A153"/>
    <mergeCell ref="A198:A200"/>
    <mergeCell ref="A86:A105"/>
    <mergeCell ref="A114:A122"/>
    <mergeCell ref="B114:B122"/>
    <mergeCell ref="C114:C122"/>
    <mergeCell ref="C203:C204"/>
    <mergeCell ref="B192:B195"/>
    <mergeCell ref="C192:C195"/>
    <mergeCell ref="B167:B170"/>
    <mergeCell ref="B160:B166"/>
    <mergeCell ref="B203:B204"/>
    <mergeCell ref="B171:B191"/>
    <mergeCell ref="A192:A195"/>
    <mergeCell ref="A141:A150"/>
    <mergeCell ref="I4:L4"/>
    <mergeCell ref="I3:L3"/>
    <mergeCell ref="D203:D204"/>
    <mergeCell ref="H42:H51"/>
    <mergeCell ref="H52:H81"/>
    <mergeCell ref="H106:H113"/>
    <mergeCell ref="H86:H105"/>
    <mergeCell ref="A154:A157"/>
    <mergeCell ref="B154:B157"/>
    <mergeCell ref="C154:C157"/>
    <mergeCell ref="D154:D157"/>
    <mergeCell ref="E154:E157"/>
    <mergeCell ref="F154:F157"/>
    <mergeCell ref="G154:G157"/>
    <mergeCell ref="H154:H157"/>
    <mergeCell ref="B86:B105"/>
    <mergeCell ref="B106:B113"/>
    <mergeCell ref="C106:C113"/>
    <mergeCell ref="D106:D113"/>
    <mergeCell ref="E106:E113"/>
    <mergeCell ref="F111:F113"/>
    <mergeCell ref="G106:G113"/>
    <mergeCell ref="F94:F95"/>
    <mergeCell ref="E141:E150"/>
  </mergeCells>
  <phoneticPr fontId="40" type="noConversion"/>
  <pageMargins left="0.7" right="0.7" top="0.75" bottom="0.75" header="0.3" footer="0.3"/>
  <pageSetup paperSize="9" scale="55"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78"/>
  <sheetViews>
    <sheetView zoomScaleNormal="100" workbookViewId="0">
      <pane ySplit="12" topLeftCell="A31" activePane="bottomLeft" state="frozen"/>
      <selection pane="bottomLeft" activeCell="I6" sqref="I6:L6"/>
    </sheetView>
  </sheetViews>
  <sheetFormatPr defaultColWidth="9.109375" defaultRowHeight="14.4" x14ac:dyDescent="0.3"/>
  <cols>
    <col min="1" max="1" width="5.109375" style="19" customWidth="1"/>
    <col min="2" max="2" width="5.44140625" style="19" customWidth="1"/>
    <col min="3" max="3" width="5.33203125" style="19" customWidth="1"/>
    <col min="4" max="4" width="18.44140625" style="19" customWidth="1"/>
    <col min="5" max="5" width="6.33203125" style="19" customWidth="1"/>
    <col min="6" max="6" width="21.33203125" style="19" customWidth="1"/>
    <col min="7" max="7" width="15.109375" style="19" customWidth="1"/>
    <col min="8" max="8" width="11.6640625" style="19" customWidth="1"/>
    <col min="9" max="12" width="9.109375" style="19"/>
    <col min="13" max="16384" width="9.109375" style="524"/>
  </cols>
  <sheetData>
    <row r="1" spans="1:14" ht="45" customHeight="1" x14ac:dyDescent="0.3">
      <c r="I1" s="1521" t="s">
        <v>502</v>
      </c>
      <c r="J1" s="1521"/>
      <c r="K1" s="1521"/>
      <c r="L1" s="1521"/>
    </row>
    <row r="2" spans="1:14" ht="24.75" hidden="1" customHeight="1" x14ac:dyDescent="0.3">
      <c r="I2" s="1529" t="s">
        <v>513</v>
      </c>
      <c r="J2" s="1529"/>
      <c r="K2" s="1529"/>
      <c r="L2" s="1529"/>
    </row>
    <row r="3" spans="1:14" ht="42.6" hidden="1" customHeight="1" x14ac:dyDescent="0.3">
      <c r="I3" s="1529" t="s">
        <v>511</v>
      </c>
      <c r="J3" s="1529"/>
      <c r="K3" s="1529"/>
      <c r="L3" s="1529"/>
    </row>
    <row r="4" spans="1:14" ht="42.6" customHeight="1" x14ac:dyDescent="0.3">
      <c r="I4" s="1529" t="s">
        <v>517</v>
      </c>
      <c r="J4" s="1529"/>
      <c r="K4" s="1529"/>
      <c r="L4" s="1529"/>
    </row>
    <row r="6" spans="1:14" ht="36" customHeight="1" x14ac:dyDescent="0.3">
      <c r="I6" s="1521" t="s">
        <v>503</v>
      </c>
      <c r="J6" s="1521"/>
      <c r="K6" s="1521"/>
      <c r="L6" s="1521"/>
    </row>
    <row r="7" spans="1:14" ht="25.5" customHeight="1" x14ac:dyDescent="0.3">
      <c r="B7" s="197"/>
      <c r="C7" s="197"/>
      <c r="D7" s="197"/>
      <c r="E7" s="197"/>
      <c r="F7" s="197"/>
      <c r="G7" s="197"/>
      <c r="H7" s="197"/>
      <c r="I7" s="197"/>
      <c r="J7" s="197"/>
      <c r="K7" s="197"/>
    </row>
    <row r="8" spans="1:14" ht="29.25" customHeight="1" x14ac:dyDescent="0.3">
      <c r="A8" s="197"/>
      <c r="B8" s="1729" t="s">
        <v>217</v>
      </c>
      <c r="C8" s="1729"/>
      <c r="D8" s="1729"/>
      <c r="E8" s="1729"/>
      <c r="F8" s="1729"/>
      <c r="G8" s="1729"/>
      <c r="H8" s="1729"/>
      <c r="I8" s="1729"/>
      <c r="J8" s="1729"/>
      <c r="K8" s="1729"/>
    </row>
    <row r="9" spans="1:14" x14ac:dyDescent="0.3">
      <c r="A9" s="197"/>
      <c r="B9" s="198"/>
      <c r="C9" s="198"/>
      <c r="D9" s="198"/>
      <c r="E9" s="198"/>
      <c r="F9" s="198"/>
      <c r="G9" s="198"/>
      <c r="H9" s="198"/>
      <c r="I9" s="198"/>
      <c r="J9" s="197"/>
      <c r="K9" s="197"/>
    </row>
    <row r="10" spans="1:14" ht="22.8" x14ac:dyDescent="0.3">
      <c r="A10" s="1501" t="s">
        <v>1</v>
      </c>
      <c r="B10" s="1742" t="s">
        <v>2</v>
      </c>
      <c r="C10" s="1742" t="s">
        <v>3</v>
      </c>
      <c r="D10" s="1745" t="s">
        <v>4</v>
      </c>
      <c r="E10" s="1518" t="s">
        <v>5</v>
      </c>
      <c r="F10" s="1518" t="s">
        <v>6</v>
      </c>
      <c r="G10" s="1518" t="s">
        <v>7</v>
      </c>
      <c r="H10" s="1518" t="s">
        <v>8</v>
      </c>
      <c r="I10" s="1518" t="s">
        <v>9</v>
      </c>
      <c r="J10" s="199" t="s">
        <v>10</v>
      </c>
      <c r="K10" s="199" t="s">
        <v>11</v>
      </c>
      <c r="L10" s="24" t="s">
        <v>12</v>
      </c>
    </row>
    <row r="11" spans="1:14" x14ac:dyDescent="0.3">
      <c r="A11" s="1502"/>
      <c r="B11" s="1743"/>
      <c r="C11" s="1743"/>
      <c r="D11" s="1746"/>
      <c r="E11" s="1519"/>
      <c r="F11" s="1519"/>
      <c r="G11" s="1519"/>
      <c r="H11" s="1519"/>
      <c r="I11" s="1519"/>
      <c r="J11" s="2255" t="s">
        <v>13</v>
      </c>
      <c r="K11" s="2255" t="s">
        <v>13</v>
      </c>
      <c r="L11" s="2244" t="s">
        <v>13</v>
      </c>
    </row>
    <row r="12" spans="1:14" ht="60" customHeight="1" thickBot="1" x14ac:dyDescent="0.35">
      <c r="A12" s="1502"/>
      <c r="B12" s="1743"/>
      <c r="C12" s="1743"/>
      <c r="D12" s="1746"/>
      <c r="E12" s="1519"/>
      <c r="F12" s="1519"/>
      <c r="G12" s="1519"/>
      <c r="H12" s="1520"/>
      <c r="I12" s="1519"/>
      <c r="J12" s="2256"/>
      <c r="K12" s="2256"/>
      <c r="L12" s="2245"/>
    </row>
    <row r="13" spans="1:14" ht="15.75" customHeight="1" thickBot="1" x14ac:dyDescent="0.35">
      <c r="A13" s="200" t="s">
        <v>218</v>
      </c>
      <c r="B13" s="201"/>
      <c r="C13" s="201"/>
      <c r="D13" s="201"/>
      <c r="E13" s="201"/>
      <c r="F13" s="201"/>
      <c r="G13" s="201"/>
      <c r="H13" s="201"/>
      <c r="I13" s="201"/>
      <c r="J13" s="201"/>
      <c r="K13" s="201"/>
      <c r="L13" s="202"/>
    </row>
    <row r="14" spans="1:14" x14ac:dyDescent="0.3">
      <c r="A14" s="63" t="s">
        <v>15</v>
      </c>
      <c r="B14" s="203" t="s">
        <v>219</v>
      </c>
      <c r="C14" s="204"/>
      <c r="D14" s="204"/>
      <c r="E14" s="204"/>
      <c r="F14" s="204"/>
      <c r="G14" s="204"/>
      <c r="H14" s="204"/>
      <c r="I14" s="204"/>
      <c r="J14" s="204"/>
      <c r="K14" s="204"/>
      <c r="L14" s="205"/>
    </row>
    <row r="15" spans="1:14" ht="15.75" customHeight="1" x14ac:dyDescent="0.3">
      <c r="A15" s="62" t="s">
        <v>15</v>
      </c>
      <c r="B15" s="84" t="s">
        <v>15</v>
      </c>
      <c r="C15" s="206" t="s">
        <v>220</v>
      </c>
      <c r="D15" s="207"/>
      <c r="E15" s="207"/>
      <c r="F15" s="207"/>
      <c r="G15" s="207"/>
      <c r="H15" s="207"/>
      <c r="I15" s="207"/>
      <c r="J15" s="207"/>
      <c r="K15" s="207"/>
      <c r="L15" s="208"/>
    </row>
    <row r="16" spans="1:14" ht="46.5" customHeight="1" thickBot="1" x14ac:dyDescent="0.35">
      <c r="A16" s="1690" t="s">
        <v>15</v>
      </c>
      <c r="B16" s="2349" t="s">
        <v>15</v>
      </c>
      <c r="C16" s="2350" t="s">
        <v>15</v>
      </c>
      <c r="D16" s="2364" t="s">
        <v>221</v>
      </c>
      <c r="E16" s="2246" t="s">
        <v>19</v>
      </c>
      <c r="F16" s="2293" t="s">
        <v>20</v>
      </c>
      <c r="G16" s="1998" t="s">
        <v>105</v>
      </c>
      <c r="H16" s="2387" t="s">
        <v>22</v>
      </c>
      <c r="I16" s="209" t="s">
        <v>87</v>
      </c>
      <c r="J16" s="877">
        <f>273.4+1.1-15-20.2+0.2</f>
        <v>239.5</v>
      </c>
      <c r="K16" s="878">
        <v>274.5</v>
      </c>
      <c r="L16" s="1070">
        <v>274.5</v>
      </c>
      <c r="N16" s="526"/>
    </row>
    <row r="17" spans="1:14" ht="15" thickBot="1" x14ac:dyDescent="0.35">
      <c r="A17" s="1690"/>
      <c r="B17" s="2349"/>
      <c r="C17" s="2350"/>
      <c r="D17" s="2364"/>
      <c r="E17" s="2248"/>
      <c r="F17" s="2295"/>
      <c r="G17" s="2263"/>
      <c r="H17" s="2388"/>
      <c r="I17" s="190" t="s">
        <v>24</v>
      </c>
      <c r="J17" s="73">
        <f>SUM(J16:J16)</f>
        <v>239.5</v>
      </c>
      <c r="K17" s="167">
        <f>SUM(K16:K16)</f>
        <v>274.5</v>
      </c>
      <c r="L17" s="1365">
        <f>SUM(L16:L16)</f>
        <v>274.5</v>
      </c>
    </row>
    <row r="18" spans="1:14" ht="15" thickBot="1" x14ac:dyDescent="0.35">
      <c r="A18" s="2229" t="s">
        <v>15</v>
      </c>
      <c r="B18" s="2446" t="s">
        <v>15</v>
      </c>
      <c r="C18" s="2350" t="s">
        <v>25</v>
      </c>
      <c r="D18" s="2364" t="s">
        <v>222</v>
      </c>
      <c r="E18" s="2468" t="s">
        <v>19</v>
      </c>
      <c r="F18" s="2293" t="s">
        <v>20</v>
      </c>
      <c r="G18" s="1998" t="s">
        <v>223</v>
      </c>
      <c r="H18" s="2389" t="s">
        <v>224</v>
      </c>
      <c r="I18" s="210" t="s">
        <v>23</v>
      </c>
      <c r="J18" s="863">
        <f>3289.2-40-108-60-28.5-4.8</f>
        <v>3047.8999999999996</v>
      </c>
      <c r="K18" s="863">
        <v>3289.2</v>
      </c>
      <c r="L18" s="1366">
        <v>3289.2</v>
      </c>
    </row>
    <row r="19" spans="1:14" ht="15" thickBot="1" x14ac:dyDescent="0.35">
      <c r="A19" s="1589"/>
      <c r="B19" s="2447"/>
      <c r="C19" s="2350"/>
      <c r="D19" s="2364"/>
      <c r="E19" s="2469"/>
      <c r="F19" s="2294"/>
      <c r="G19" s="1999"/>
      <c r="H19" s="2292"/>
      <c r="I19" s="1297" t="s">
        <v>87</v>
      </c>
      <c r="J19" s="1298">
        <v>0</v>
      </c>
      <c r="K19" s="1298">
        <v>0</v>
      </c>
      <c r="L19" s="1367">
        <v>0</v>
      </c>
    </row>
    <row r="20" spans="1:14" ht="15" thickBot="1" x14ac:dyDescent="0.35">
      <c r="A20" s="1589"/>
      <c r="B20" s="2447"/>
      <c r="C20" s="2350"/>
      <c r="D20" s="2364"/>
      <c r="E20" s="2469"/>
      <c r="F20" s="2294"/>
      <c r="G20" s="1999"/>
      <c r="H20" s="2292"/>
      <c r="I20" s="1299" t="s">
        <v>30</v>
      </c>
      <c r="J20" s="1300">
        <v>328.2</v>
      </c>
      <c r="K20" s="1300">
        <v>328.2</v>
      </c>
      <c r="L20" s="1368">
        <v>328.2</v>
      </c>
    </row>
    <row r="21" spans="1:14" ht="39" customHeight="1" thickBot="1" x14ac:dyDescent="0.35">
      <c r="A21" s="2460"/>
      <c r="B21" s="2461"/>
      <c r="C21" s="2350"/>
      <c r="D21" s="2364"/>
      <c r="E21" s="2470"/>
      <c r="F21" s="2295"/>
      <c r="G21" s="2263"/>
      <c r="H21" s="1666"/>
      <c r="I21" s="211" t="s">
        <v>24</v>
      </c>
      <c r="J21" s="212">
        <f>SUM(J18:J20)</f>
        <v>3376.0999999999995</v>
      </c>
      <c r="K21" s="212">
        <f t="shared" ref="K21:L21" si="0">SUM(K18:K20)</f>
        <v>3617.3999999999996</v>
      </c>
      <c r="L21" s="30">
        <f t="shared" si="0"/>
        <v>3617.3999999999996</v>
      </c>
    </row>
    <row r="22" spans="1:14" ht="32.25" customHeight="1" thickBot="1" x14ac:dyDescent="0.35">
      <c r="A22" s="1690" t="s">
        <v>15</v>
      </c>
      <c r="B22" s="2349" t="s">
        <v>15</v>
      </c>
      <c r="C22" s="2350" t="s">
        <v>27</v>
      </c>
      <c r="D22" s="2364" t="s">
        <v>225</v>
      </c>
      <c r="E22" s="2246" t="s">
        <v>19</v>
      </c>
      <c r="F22" s="2293" t="s">
        <v>20</v>
      </c>
      <c r="G22" s="1998" t="s">
        <v>226</v>
      </c>
      <c r="H22" s="2390" t="s">
        <v>22</v>
      </c>
      <c r="I22" s="1076" t="s">
        <v>227</v>
      </c>
      <c r="J22" s="1077">
        <f>4291.9+8698.7-60.5-270-160-110-22+44</f>
        <v>12412.1</v>
      </c>
      <c r="K22" s="1077">
        <v>0</v>
      </c>
      <c r="L22" s="1077">
        <v>0</v>
      </c>
    </row>
    <row r="23" spans="1:14" ht="19.5" customHeight="1" thickBot="1" x14ac:dyDescent="0.35">
      <c r="A23" s="1690"/>
      <c r="B23" s="2349"/>
      <c r="C23" s="2350"/>
      <c r="D23" s="2364"/>
      <c r="E23" s="2248"/>
      <c r="F23" s="2295"/>
      <c r="G23" s="2263"/>
      <c r="H23" s="1666"/>
      <c r="I23" s="794" t="s">
        <v>24</v>
      </c>
      <c r="J23" s="796">
        <f>SUM(J22:J22)</f>
        <v>12412.1</v>
      </c>
      <c r="K23" s="796">
        <f>SUM(K22:K22)</f>
        <v>0</v>
      </c>
      <c r="L23" s="30">
        <f>SUM(L22:L22)</f>
        <v>0</v>
      </c>
    </row>
    <row r="24" spans="1:14" ht="77.25" customHeight="1" thickBot="1" x14ac:dyDescent="0.35">
      <c r="A24" s="2229" t="s">
        <v>15</v>
      </c>
      <c r="B24" s="2446" t="s">
        <v>15</v>
      </c>
      <c r="C24" s="2408" t="s">
        <v>31</v>
      </c>
      <c r="D24" s="2364" t="s">
        <v>228</v>
      </c>
      <c r="E24" s="2246" t="s">
        <v>19</v>
      </c>
      <c r="F24" s="2293" t="s">
        <v>20</v>
      </c>
      <c r="G24" s="1998" t="s">
        <v>223</v>
      </c>
      <c r="H24" s="2390" t="s">
        <v>22</v>
      </c>
      <c r="I24" s="795" t="s">
        <v>87</v>
      </c>
      <c r="J24" s="879">
        <f>0+17.5+1.4+20.5+19.9+31+1.2</f>
        <v>91.5</v>
      </c>
      <c r="K24" s="879">
        <v>0</v>
      </c>
      <c r="L24" s="880">
        <v>0</v>
      </c>
    </row>
    <row r="25" spans="1:14" ht="18.75" customHeight="1" thickBot="1" x14ac:dyDescent="0.35">
      <c r="A25" s="1589"/>
      <c r="B25" s="2447"/>
      <c r="C25" s="2379"/>
      <c r="D25" s="2365"/>
      <c r="E25" s="2247"/>
      <c r="F25" s="2294"/>
      <c r="G25" s="1999"/>
      <c r="H25" s="2391"/>
      <c r="I25" s="1078" t="s">
        <v>227</v>
      </c>
      <c r="J25" s="1079">
        <f>0+1.2+34.4+1.2+33.9</f>
        <v>70.7</v>
      </c>
      <c r="K25" s="1079">
        <v>0</v>
      </c>
      <c r="L25" s="1080">
        <v>0</v>
      </c>
    </row>
    <row r="26" spans="1:14" ht="15.75" customHeight="1" thickBot="1" x14ac:dyDescent="0.35">
      <c r="A26" s="1589"/>
      <c r="B26" s="2447"/>
      <c r="C26" s="2379"/>
      <c r="D26" s="2365"/>
      <c r="E26" s="2247"/>
      <c r="F26" s="2294"/>
      <c r="G26" s="1999"/>
      <c r="H26" s="1995"/>
      <c r="I26" s="214" t="s">
        <v>24</v>
      </c>
      <c r="J26" s="544">
        <f>SUM(J24:J25)</f>
        <v>162.19999999999999</v>
      </c>
      <c r="K26" s="544">
        <f t="shared" ref="K26:L26" si="1">SUM(K24)</f>
        <v>0</v>
      </c>
      <c r="L26" s="30">
        <f t="shared" si="1"/>
        <v>0</v>
      </c>
    </row>
    <row r="27" spans="1:14" ht="20.25" customHeight="1" thickBot="1" x14ac:dyDescent="0.35">
      <c r="A27" s="2443" t="s">
        <v>15</v>
      </c>
      <c r="B27" s="2235" t="s">
        <v>15</v>
      </c>
      <c r="C27" s="2041" t="s">
        <v>33</v>
      </c>
      <c r="D27" s="2249" t="s">
        <v>229</v>
      </c>
      <c r="E27" s="2466" t="s">
        <v>19</v>
      </c>
      <c r="F27" s="1512" t="s">
        <v>20</v>
      </c>
      <c r="G27" s="2471" t="s">
        <v>76</v>
      </c>
      <c r="H27" s="2440" t="s">
        <v>22</v>
      </c>
      <c r="I27" s="234" t="s">
        <v>23</v>
      </c>
      <c r="J27" s="881">
        <v>29.8</v>
      </c>
      <c r="K27" s="881">
        <v>30</v>
      </c>
      <c r="L27" s="882">
        <v>30</v>
      </c>
    </row>
    <row r="28" spans="1:14" ht="17.25" customHeight="1" thickBot="1" x14ac:dyDescent="0.35">
      <c r="A28" s="2444"/>
      <c r="B28" s="2236"/>
      <c r="C28" s="2042"/>
      <c r="D28" s="2250"/>
      <c r="E28" s="2467"/>
      <c r="F28" s="2439"/>
      <c r="G28" s="2472"/>
      <c r="H28" s="2441"/>
      <c r="I28" s="220" t="s">
        <v>24</v>
      </c>
      <c r="J28" s="221">
        <f>SUM(J27)</f>
        <v>29.8</v>
      </c>
      <c r="K28" s="221">
        <f t="shared" ref="K28:L28" si="2">SUM(K27)</f>
        <v>30</v>
      </c>
      <c r="L28" s="222">
        <f t="shared" si="2"/>
        <v>30</v>
      </c>
    </row>
    <row r="29" spans="1:14" ht="15.75" customHeight="1" x14ac:dyDescent="0.3">
      <c r="A29" s="76" t="s">
        <v>15</v>
      </c>
      <c r="B29" s="80" t="s">
        <v>15</v>
      </c>
      <c r="C29" s="2436" t="s">
        <v>80</v>
      </c>
      <c r="D29" s="2437"/>
      <c r="E29" s="2437"/>
      <c r="F29" s="2437"/>
      <c r="G29" s="2437"/>
      <c r="H29" s="2438"/>
      <c r="I29" s="223"/>
      <c r="J29" s="224">
        <f>J17+J21+J23+J26+J28</f>
        <v>16219.7</v>
      </c>
      <c r="K29" s="224">
        <f>K17+K21+K23+K26+K28</f>
        <v>3921.8999999999996</v>
      </c>
      <c r="L29" s="225">
        <f>L17+L21+L23+L26+L28</f>
        <v>3921.8999999999996</v>
      </c>
    </row>
    <row r="30" spans="1:14" ht="15.75" customHeight="1" x14ac:dyDescent="0.3">
      <c r="A30" s="87" t="s">
        <v>15</v>
      </c>
      <c r="B30" s="226" t="s">
        <v>25</v>
      </c>
      <c r="C30" s="227" t="s">
        <v>230</v>
      </c>
      <c r="D30" s="228"/>
      <c r="E30" s="228"/>
      <c r="F30" s="229"/>
      <c r="G30" s="229"/>
      <c r="H30" s="229"/>
      <c r="I30" s="230"/>
      <c r="J30" s="231"/>
      <c r="K30" s="231"/>
      <c r="L30" s="232"/>
    </row>
    <row r="31" spans="1:14" ht="24.75" customHeight="1" x14ac:dyDescent="0.3">
      <c r="A31" s="2445" t="s">
        <v>15</v>
      </c>
      <c r="B31" s="2380" t="s">
        <v>25</v>
      </c>
      <c r="C31" s="2379" t="s">
        <v>15</v>
      </c>
      <c r="D31" s="2377" t="s">
        <v>231</v>
      </c>
      <c r="E31" s="2382" t="s">
        <v>19</v>
      </c>
      <c r="F31" s="233" t="s">
        <v>20</v>
      </c>
      <c r="G31" s="883" t="s">
        <v>232</v>
      </c>
      <c r="H31" s="2384" t="s">
        <v>22</v>
      </c>
      <c r="I31" s="234" t="s">
        <v>87</v>
      </c>
      <c r="J31" s="235">
        <f>98-2.5+3.1+1.1-0.1</f>
        <v>99.6</v>
      </c>
      <c r="K31" s="235">
        <v>98</v>
      </c>
      <c r="L31" s="1030">
        <v>98</v>
      </c>
      <c r="N31" s="526"/>
    </row>
    <row r="32" spans="1:14" ht="18" customHeight="1" x14ac:dyDescent="0.3">
      <c r="A32" s="1693"/>
      <c r="B32" s="2381"/>
      <c r="C32" s="2379"/>
      <c r="D32" s="2377"/>
      <c r="E32" s="2382"/>
      <c r="F32" s="2222" t="s">
        <v>70</v>
      </c>
      <c r="G32" s="2451" t="s">
        <v>36</v>
      </c>
      <c r="H32" s="2291"/>
      <c r="I32" s="795" t="s">
        <v>23</v>
      </c>
      <c r="J32" s="237">
        <v>0</v>
      </c>
      <c r="K32" s="237">
        <v>0</v>
      </c>
      <c r="L32" s="585">
        <v>0</v>
      </c>
    </row>
    <row r="33" spans="1:14" ht="21" customHeight="1" x14ac:dyDescent="0.3">
      <c r="A33" s="1693"/>
      <c r="B33" s="2381"/>
      <c r="C33" s="2379"/>
      <c r="D33" s="2377"/>
      <c r="E33" s="2382"/>
      <c r="F33" s="2222"/>
      <c r="G33" s="2452"/>
      <c r="H33" s="2291"/>
      <c r="I33" s="1071" t="s">
        <v>87</v>
      </c>
      <c r="J33" s="1096">
        <f>20-5.8</f>
        <v>14.2</v>
      </c>
      <c r="K33" s="1096">
        <v>20</v>
      </c>
      <c r="L33" s="1097">
        <v>20</v>
      </c>
      <c r="N33" s="526"/>
    </row>
    <row r="34" spans="1:14" ht="25.5" customHeight="1" x14ac:dyDescent="0.3">
      <c r="A34" s="1693"/>
      <c r="B34" s="2381"/>
      <c r="C34" s="2379"/>
      <c r="D34" s="2377"/>
      <c r="E34" s="2382"/>
      <c r="F34" s="884" t="s">
        <v>233</v>
      </c>
      <c r="G34" s="2452"/>
      <c r="H34" s="2291"/>
      <c r="I34" s="1034" t="s">
        <v>87</v>
      </c>
      <c r="J34" s="235">
        <f>12-1.7</f>
        <v>10.3</v>
      </c>
      <c r="K34" s="235">
        <v>12</v>
      </c>
      <c r="L34" s="1030">
        <v>12</v>
      </c>
    </row>
    <row r="35" spans="1:14" ht="24" x14ac:dyDescent="0.3">
      <c r="A35" s="1693"/>
      <c r="B35" s="2381"/>
      <c r="C35" s="2379"/>
      <c r="D35" s="2377"/>
      <c r="E35" s="2382"/>
      <c r="F35" s="884" t="s">
        <v>39</v>
      </c>
      <c r="G35" s="2452"/>
      <c r="H35" s="2291"/>
      <c r="I35" s="1073" t="s">
        <v>87</v>
      </c>
      <c r="J35" s="885">
        <f>9.8-2.1</f>
        <v>7.7000000000000011</v>
      </c>
      <c r="K35" s="885">
        <v>9.8000000000000007</v>
      </c>
      <c r="L35" s="1072">
        <v>9.8000000000000007</v>
      </c>
    </row>
    <row r="36" spans="1:14" ht="36" customHeight="1" x14ac:dyDescent="0.3">
      <c r="A36" s="1693"/>
      <c r="B36" s="2381"/>
      <c r="C36" s="2379"/>
      <c r="D36" s="2377"/>
      <c r="E36" s="2382"/>
      <c r="F36" s="884" t="s">
        <v>40</v>
      </c>
      <c r="G36" s="2452"/>
      <c r="H36" s="2291"/>
      <c r="I36" s="1031" t="s">
        <v>87</v>
      </c>
      <c r="J36" s="243">
        <f>10.3+0.1+0.2+0.1-2.4</f>
        <v>8.2999999999999989</v>
      </c>
      <c r="K36" s="243">
        <v>10.3</v>
      </c>
      <c r="L36" s="1033">
        <v>10.3</v>
      </c>
    </row>
    <row r="37" spans="1:14" ht="36" customHeight="1" x14ac:dyDescent="0.3">
      <c r="A37" s="1693"/>
      <c r="B37" s="2381"/>
      <c r="C37" s="2379"/>
      <c r="D37" s="2377"/>
      <c r="E37" s="2382"/>
      <c r="F37" s="884" t="s">
        <v>41</v>
      </c>
      <c r="G37" s="2452"/>
      <c r="H37" s="2291"/>
      <c r="I37" s="1031" t="s">
        <v>87</v>
      </c>
      <c r="J37" s="16">
        <f>36+0.1+0.1+0.1-6.7</f>
        <v>29.600000000000005</v>
      </c>
      <c r="K37" s="16">
        <v>36</v>
      </c>
      <c r="L37" s="1205">
        <v>36</v>
      </c>
    </row>
    <row r="38" spans="1:14" ht="22.5" customHeight="1" x14ac:dyDescent="0.3">
      <c r="A38" s="1693"/>
      <c r="B38" s="2381"/>
      <c r="C38" s="2379"/>
      <c r="D38" s="2377"/>
      <c r="E38" s="2382"/>
      <c r="F38" s="2222" t="s">
        <v>42</v>
      </c>
      <c r="G38" s="2452"/>
      <c r="H38" s="2291"/>
      <c r="I38" s="1199" t="s">
        <v>23</v>
      </c>
      <c r="J38" s="1020">
        <v>5</v>
      </c>
      <c r="K38" s="1020">
        <v>0</v>
      </c>
      <c r="L38" s="1012">
        <v>0</v>
      </c>
    </row>
    <row r="39" spans="1:14" ht="24.75" customHeight="1" x14ac:dyDescent="0.3">
      <c r="A39" s="1693"/>
      <c r="B39" s="2381"/>
      <c r="C39" s="2379"/>
      <c r="D39" s="2377"/>
      <c r="E39" s="2382"/>
      <c r="F39" s="2222"/>
      <c r="G39" s="2452"/>
      <c r="H39" s="2291"/>
      <c r="I39" s="1071" t="s">
        <v>87</v>
      </c>
      <c r="J39" s="1021">
        <f>55-22.1</f>
        <v>32.9</v>
      </c>
      <c r="K39" s="1021">
        <v>55</v>
      </c>
      <c r="L39" s="1014">
        <v>55</v>
      </c>
    </row>
    <row r="40" spans="1:14" ht="21" customHeight="1" x14ac:dyDescent="0.3">
      <c r="A40" s="1693"/>
      <c r="B40" s="2381"/>
      <c r="C40" s="2379"/>
      <c r="D40" s="2377"/>
      <c r="E40" s="2382"/>
      <c r="F40" s="2222" t="s">
        <v>43</v>
      </c>
      <c r="G40" s="2452"/>
      <c r="H40" s="2291"/>
      <c r="I40" s="1199" t="s">
        <v>23</v>
      </c>
      <c r="J40" s="246">
        <v>1.9</v>
      </c>
      <c r="K40" s="246">
        <v>0</v>
      </c>
      <c r="L40" s="829">
        <v>0</v>
      </c>
    </row>
    <row r="41" spans="1:14" ht="17.25" customHeight="1" x14ac:dyDescent="0.3">
      <c r="A41" s="1693"/>
      <c r="B41" s="2381"/>
      <c r="C41" s="2379"/>
      <c r="D41" s="2377"/>
      <c r="E41" s="2382"/>
      <c r="F41" s="2222"/>
      <c r="G41" s="2452"/>
      <c r="H41" s="2291"/>
      <c r="I41" s="1071" t="s">
        <v>87</v>
      </c>
      <c r="J41" s="247">
        <f>16+0.3+0.5+0.1+0.2-0.9-0.2</f>
        <v>16.000000000000004</v>
      </c>
      <c r="K41" s="247">
        <v>16</v>
      </c>
      <c r="L41" s="1198">
        <v>16</v>
      </c>
    </row>
    <row r="42" spans="1:14" ht="20.25" customHeight="1" x14ac:dyDescent="0.3">
      <c r="A42" s="1693"/>
      <c r="B42" s="2381"/>
      <c r="C42" s="2379"/>
      <c r="D42" s="2377"/>
      <c r="E42" s="2382"/>
      <c r="F42" s="2222" t="s">
        <v>44</v>
      </c>
      <c r="G42" s="2452"/>
      <c r="H42" s="2291"/>
      <c r="I42" s="244" t="s">
        <v>23</v>
      </c>
      <c r="J42" s="248">
        <f>9+2.8</f>
        <v>11.8</v>
      </c>
      <c r="K42" s="249">
        <v>0</v>
      </c>
      <c r="L42" s="1134">
        <v>0</v>
      </c>
    </row>
    <row r="43" spans="1:14" ht="19.5" customHeight="1" x14ac:dyDescent="0.3">
      <c r="A43" s="1693"/>
      <c r="B43" s="2381"/>
      <c r="C43" s="2379"/>
      <c r="D43" s="2377"/>
      <c r="E43" s="2382"/>
      <c r="F43" s="2222"/>
      <c r="G43" s="2452"/>
      <c r="H43" s="2291"/>
      <c r="I43" s="239" t="s">
        <v>87</v>
      </c>
      <c r="J43" s="1206">
        <f>73+1.3-15.3-1.3</f>
        <v>57.7</v>
      </c>
      <c r="K43" s="1096">
        <v>73</v>
      </c>
      <c r="L43" s="997">
        <v>73</v>
      </c>
    </row>
    <row r="44" spans="1:14" ht="24.75" customHeight="1" x14ac:dyDescent="0.3">
      <c r="A44" s="1693"/>
      <c r="B44" s="2381"/>
      <c r="C44" s="2379"/>
      <c r="D44" s="2377"/>
      <c r="E44" s="2382"/>
      <c r="F44" s="2222" t="s">
        <v>45</v>
      </c>
      <c r="G44" s="2452"/>
      <c r="H44" s="2291"/>
      <c r="I44" s="1199" t="s">
        <v>23</v>
      </c>
      <c r="J44" s="237">
        <f>14.5+1.8</f>
        <v>16.3</v>
      </c>
      <c r="K44" s="585">
        <v>14.5</v>
      </c>
      <c r="L44" s="1207">
        <v>14.5</v>
      </c>
    </row>
    <row r="45" spans="1:14" x14ac:dyDescent="0.3">
      <c r="A45" s="1693"/>
      <c r="B45" s="2381"/>
      <c r="C45" s="2379"/>
      <c r="D45" s="2377"/>
      <c r="E45" s="2382"/>
      <c r="F45" s="2222"/>
      <c r="G45" s="2452"/>
      <c r="H45" s="2291"/>
      <c r="I45" s="1071" t="s">
        <v>87</v>
      </c>
      <c r="J45" s="1096">
        <f>93+0.4+0.5+0.1-10.3</f>
        <v>83.7</v>
      </c>
      <c r="K45" s="997">
        <v>93</v>
      </c>
      <c r="L45" s="1208">
        <v>93</v>
      </c>
    </row>
    <row r="46" spans="1:14" ht="22.5" customHeight="1" x14ac:dyDescent="0.3">
      <c r="A46" s="1693"/>
      <c r="B46" s="2381"/>
      <c r="C46" s="2379"/>
      <c r="D46" s="2377"/>
      <c r="E46" s="2382"/>
      <c r="F46" s="2222" t="s">
        <v>46</v>
      </c>
      <c r="G46" s="2452"/>
      <c r="H46" s="2291"/>
      <c r="I46" s="1199" t="s">
        <v>23</v>
      </c>
      <c r="J46" s="585">
        <v>8</v>
      </c>
      <c r="K46" s="248">
        <v>0</v>
      </c>
      <c r="L46" s="1134">
        <v>8</v>
      </c>
    </row>
    <row r="47" spans="1:14" ht="22.5" customHeight="1" x14ac:dyDescent="0.3">
      <c r="A47" s="1693"/>
      <c r="B47" s="2381"/>
      <c r="C47" s="2379"/>
      <c r="D47" s="2377"/>
      <c r="E47" s="2382"/>
      <c r="F47" s="2222"/>
      <c r="G47" s="2452"/>
      <c r="H47" s="2291"/>
      <c r="I47" s="1071" t="s">
        <v>87</v>
      </c>
      <c r="J47" s="1097">
        <f>57-2.3+0.5+0.5+0.1-16.1</f>
        <v>39.700000000000003</v>
      </c>
      <c r="K47" s="240">
        <v>57</v>
      </c>
      <c r="L47" s="997">
        <v>57</v>
      </c>
    </row>
    <row r="48" spans="1:14" ht="19.5" customHeight="1" x14ac:dyDescent="0.3">
      <c r="A48" s="1693"/>
      <c r="B48" s="2381"/>
      <c r="C48" s="2379"/>
      <c r="D48" s="2377"/>
      <c r="E48" s="2382"/>
      <c r="F48" s="2222" t="s">
        <v>47</v>
      </c>
      <c r="G48" s="2452"/>
      <c r="H48" s="2291"/>
      <c r="I48" s="1199" t="s">
        <v>23</v>
      </c>
      <c r="J48" s="1185">
        <f>31+8.7</f>
        <v>39.700000000000003</v>
      </c>
      <c r="K48" s="245">
        <v>0</v>
      </c>
      <c r="L48" s="829">
        <v>0</v>
      </c>
    </row>
    <row r="49" spans="1:12" ht="19.5" customHeight="1" x14ac:dyDescent="0.3">
      <c r="A49" s="1693"/>
      <c r="B49" s="2381"/>
      <c r="C49" s="2379"/>
      <c r="D49" s="2377"/>
      <c r="E49" s="2382"/>
      <c r="F49" s="2222"/>
      <c r="G49" s="2452"/>
      <c r="H49" s="2291"/>
      <c r="I49" s="1209" t="s">
        <v>87</v>
      </c>
      <c r="J49" s="1198">
        <f>212.1+1.5+2+0.6-13.7</f>
        <v>202.5</v>
      </c>
      <c r="K49" s="1200">
        <v>212.1</v>
      </c>
      <c r="L49" s="1186">
        <v>212.1</v>
      </c>
    </row>
    <row r="50" spans="1:12" ht="20.25" customHeight="1" x14ac:dyDescent="0.3">
      <c r="A50" s="1693"/>
      <c r="B50" s="2381"/>
      <c r="C50" s="2379"/>
      <c r="D50" s="2377"/>
      <c r="E50" s="2382"/>
      <c r="F50" s="2457" t="s">
        <v>48</v>
      </c>
      <c r="G50" s="2452"/>
      <c r="H50" s="2291"/>
      <c r="I50" s="1023" t="s">
        <v>23</v>
      </c>
      <c r="J50" s="1005">
        <f>4.5+1.7</f>
        <v>6.2</v>
      </c>
      <c r="K50" s="1201">
        <v>0</v>
      </c>
      <c r="L50" s="611">
        <v>0</v>
      </c>
    </row>
    <row r="51" spans="1:12" ht="21" customHeight="1" x14ac:dyDescent="0.3">
      <c r="A51" s="1693"/>
      <c r="B51" s="2381"/>
      <c r="C51" s="2379"/>
      <c r="D51" s="2377"/>
      <c r="E51" s="2382"/>
      <c r="F51" s="2458"/>
      <c r="G51" s="2452"/>
      <c r="H51" s="2291"/>
      <c r="I51" s="1024" t="s">
        <v>87</v>
      </c>
      <c r="J51" s="1002">
        <f>55-13.4</f>
        <v>41.6</v>
      </c>
      <c r="K51" s="1202">
        <v>55</v>
      </c>
      <c r="L51" s="612">
        <v>55</v>
      </c>
    </row>
    <row r="52" spans="1:12" ht="21" customHeight="1" x14ac:dyDescent="0.3">
      <c r="A52" s="1693"/>
      <c r="B52" s="2381"/>
      <c r="C52" s="2379"/>
      <c r="D52" s="2377"/>
      <c r="E52" s="2382"/>
      <c r="F52" s="2459"/>
      <c r="G52" s="2452"/>
      <c r="H52" s="2291"/>
      <c r="I52" s="1026" t="s">
        <v>30</v>
      </c>
      <c r="J52" s="1006">
        <v>0.3</v>
      </c>
      <c r="K52" s="1203">
        <v>0.3</v>
      </c>
      <c r="L52" s="1145">
        <v>0.3</v>
      </c>
    </row>
    <row r="53" spans="1:12" ht="21" customHeight="1" x14ac:dyDescent="0.3">
      <c r="A53" s="1693"/>
      <c r="B53" s="2381"/>
      <c r="C53" s="2379"/>
      <c r="D53" s="2377"/>
      <c r="E53" s="2382"/>
      <c r="F53" s="2222" t="s">
        <v>49</v>
      </c>
      <c r="G53" s="2452"/>
      <c r="H53" s="2291"/>
      <c r="I53" s="1023" t="s">
        <v>23</v>
      </c>
      <c r="J53" s="994">
        <v>4.5</v>
      </c>
      <c r="K53" s="1201">
        <v>0</v>
      </c>
      <c r="L53" s="611">
        <v>0</v>
      </c>
    </row>
    <row r="54" spans="1:12" ht="18.75" customHeight="1" x14ac:dyDescent="0.3">
      <c r="A54" s="1693"/>
      <c r="B54" s="2381"/>
      <c r="C54" s="2379"/>
      <c r="D54" s="2377"/>
      <c r="E54" s="2382"/>
      <c r="F54" s="2222"/>
      <c r="G54" s="2452"/>
      <c r="H54" s="2291"/>
      <c r="I54" s="1026" t="s">
        <v>87</v>
      </c>
      <c r="J54" s="1006">
        <f>36+2.3-1.1-0.3</f>
        <v>36.9</v>
      </c>
      <c r="K54" s="1203">
        <v>36</v>
      </c>
      <c r="L54" s="1145">
        <v>36</v>
      </c>
    </row>
    <row r="55" spans="1:12" s="525" customFormat="1" ht="18.75" customHeight="1" x14ac:dyDescent="0.3">
      <c r="A55" s="1693"/>
      <c r="B55" s="2381"/>
      <c r="C55" s="2379"/>
      <c r="D55" s="2377"/>
      <c r="E55" s="2382"/>
      <c r="F55" s="2222" t="s">
        <v>51</v>
      </c>
      <c r="G55" s="2452"/>
      <c r="H55" s="2291"/>
      <c r="I55" s="1023" t="s">
        <v>23</v>
      </c>
      <c r="J55" s="994">
        <f>2+0.9</f>
        <v>2.9</v>
      </c>
      <c r="K55" s="1201">
        <v>0</v>
      </c>
      <c r="L55" s="611">
        <v>0</v>
      </c>
    </row>
    <row r="56" spans="1:12" s="525" customFormat="1" ht="18" customHeight="1" x14ac:dyDescent="0.3">
      <c r="A56" s="1693"/>
      <c r="B56" s="2381"/>
      <c r="C56" s="2379"/>
      <c r="D56" s="2377"/>
      <c r="E56" s="2382"/>
      <c r="F56" s="2222"/>
      <c r="G56" s="2452"/>
      <c r="H56" s="2291"/>
      <c r="I56" s="1024" t="s">
        <v>87</v>
      </c>
      <c r="J56" s="1002">
        <f>16-1.9</f>
        <v>14.1</v>
      </c>
      <c r="K56" s="1202">
        <v>16</v>
      </c>
      <c r="L56" s="612">
        <v>16</v>
      </c>
    </row>
    <row r="57" spans="1:12" s="525" customFormat="1" ht="18" customHeight="1" x14ac:dyDescent="0.3">
      <c r="A57" s="1693"/>
      <c r="B57" s="2381"/>
      <c r="C57" s="2379"/>
      <c r="D57" s="2377"/>
      <c r="E57" s="2382"/>
      <c r="F57" s="2223"/>
      <c r="G57" s="2452"/>
      <c r="H57" s="2291"/>
      <c r="I57" s="1025" t="s">
        <v>30</v>
      </c>
      <c r="J57" s="995">
        <v>0.2</v>
      </c>
      <c r="K57" s="1204">
        <v>0</v>
      </c>
      <c r="L57" s="613">
        <v>0</v>
      </c>
    </row>
    <row r="58" spans="1:12" ht="19.5" customHeight="1" x14ac:dyDescent="0.3">
      <c r="A58" s="1693"/>
      <c r="B58" s="2381"/>
      <c r="C58" s="2379"/>
      <c r="D58" s="2378"/>
      <c r="E58" s="2383"/>
      <c r="F58" s="2224"/>
      <c r="G58" s="2453"/>
      <c r="H58" s="2385"/>
      <c r="I58" s="590" t="s">
        <v>24</v>
      </c>
      <c r="J58" s="1027">
        <f>SUM(J31:J57)</f>
        <v>791.6</v>
      </c>
      <c r="K58" s="290">
        <f>SUM(K31:K56)</f>
        <v>814</v>
      </c>
      <c r="L58" s="290">
        <f>SUM(L31:L56)</f>
        <v>822</v>
      </c>
    </row>
    <row r="59" spans="1:12" ht="29.25" customHeight="1" x14ac:dyDescent="0.3">
      <c r="A59" s="1588" t="s">
        <v>15</v>
      </c>
      <c r="B59" s="1590" t="s">
        <v>25</v>
      </c>
      <c r="C59" s="1926" t="s">
        <v>25</v>
      </c>
      <c r="D59" s="2066" t="s">
        <v>234</v>
      </c>
      <c r="E59" s="2246" t="s">
        <v>19</v>
      </c>
      <c r="F59" s="886" t="s">
        <v>70</v>
      </c>
      <c r="G59" s="2227" t="s">
        <v>36</v>
      </c>
      <c r="H59" s="2454" t="s">
        <v>22</v>
      </c>
      <c r="I59" s="253" t="s">
        <v>87</v>
      </c>
      <c r="J59" s="254">
        <v>0.61</v>
      </c>
      <c r="K59" s="254">
        <v>0.61</v>
      </c>
      <c r="L59" s="254">
        <v>0.61</v>
      </c>
    </row>
    <row r="60" spans="1:12" ht="24" customHeight="1" x14ac:dyDescent="0.3">
      <c r="A60" s="1589"/>
      <c r="B60" s="1591"/>
      <c r="C60" s="1946"/>
      <c r="D60" s="2109"/>
      <c r="E60" s="2247"/>
      <c r="F60" s="887" t="s">
        <v>235</v>
      </c>
      <c r="G60" s="2227"/>
      <c r="H60" s="2455"/>
      <c r="I60" s="253" t="s">
        <v>87</v>
      </c>
      <c r="J60" s="255">
        <v>0.61</v>
      </c>
      <c r="K60" s="255">
        <v>0.61</v>
      </c>
      <c r="L60" s="255">
        <v>0.61</v>
      </c>
    </row>
    <row r="61" spans="1:12" ht="24" x14ac:dyDescent="0.3">
      <c r="A61" s="1589"/>
      <c r="B61" s="1591"/>
      <c r="C61" s="1946"/>
      <c r="D61" s="2109"/>
      <c r="E61" s="2247"/>
      <c r="F61" s="886" t="s">
        <v>236</v>
      </c>
      <c r="G61" s="2227"/>
      <c r="H61" s="2455"/>
      <c r="I61" s="253" t="s">
        <v>87</v>
      </c>
      <c r="J61" s="255">
        <v>0.61</v>
      </c>
      <c r="K61" s="255">
        <v>0.61</v>
      </c>
      <c r="L61" s="255">
        <v>0.61</v>
      </c>
    </row>
    <row r="62" spans="1:12" ht="35.25" customHeight="1" x14ac:dyDescent="0.3">
      <c r="A62" s="1589"/>
      <c r="B62" s="1591"/>
      <c r="C62" s="1946"/>
      <c r="D62" s="2109"/>
      <c r="E62" s="2247"/>
      <c r="F62" s="887" t="s">
        <v>40</v>
      </c>
      <c r="G62" s="2227"/>
      <c r="H62" s="2455"/>
      <c r="I62" s="253" t="s">
        <v>87</v>
      </c>
      <c r="J62" s="255">
        <v>0.61</v>
      </c>
      <c r="K62" s="255">
        <v>0.61</v>
      </c>
      <c r="L62" s="255">
        <v>0.61</v>
      </c>
    </row>
    <row r="63" spans="1:12" ht="26.25" customHeight="1" x14ac:dyDescent="0.3">
      <c r="A63" s="1589"/>
      <c r="B63" s="1591"/>
      <c r="C63" s="1946"/>
      <c r="D63" s="2109"/>
      <c r="E63" s="2247"/>
      <c r="F63" s="887" t="s">
        <v>41</v>
      </c>
      <c r="G63" s="2227"/>
      <c r="H63" s="2455"/>
      <c r="I63" s="253" t="s">
        <v>87</v>
      </c>
      <c r="J63" s="255">
        <v>0.61</v>
      </c>
      <c r="K63" s="255">
        <v>0.61</v>
      </c>
      <c r="L63" s="255">
        <v>0.61</v>
      </c>
    </row>
    <row r="64" spans="1:12" ht="36" x14ac:dyDescent="0.3">
      <c r="A64" s="1589"/>
      <c r="B64" s="1591"/>
      <c r="C64" s="1946"/>
      <c r="D64" s="2109"/>
      <c r="E64" s="2247"/>
      <c r="F64" s="888" t="s">
        <v>42</v>
      </c>
      <c r="G64" s="2227"/>
      <c r="H64" s="2455"/>
      <c r="I64" s="253" t="s">
        <v>87</v>
      </c>
      <c r="J64" s="255">
        <v>0.67100000000000004</v>
      </c>
      <c r="K64" s="255">
        <v>0.67100000000000004</v>
      </c>
      <c r="L64" s="255">
        <v>0.67100000000000004</v>
      </c>
    </row>
    <row r="65" spans="1:12" ht="24" x14ac:dyDescent="0.3">
      <c r="A65" s="1589"/>
      <c r="B65" s="1591"/>
      <c r="C65" s="1946"/>
      <c r="D65" s="2109"/>
      <c r="E65" s="2247"/>
      <c r="F65" s="887" t="s">
        <v>43</v>
      </c>
      <c r="G65" s="2227"/>
      <c r="H65" s="2455"/>
      <c r="I65" s="253" t="s">
        <v>87</v>
      </c>
      <c r="J65" s="255">
        <v>0.61</v>
      </c>
      <c r="K65" s="255">
        <v>0.61</v>
      </c>
      <c r="L65" s="255">
        <v>0.61</v>
      </c>
    </row>
    <row r="66" spans="1:12" ht="23.25" customHeight="1" x14ac:dyDescent="0.3">
      <c r="A66" s="1589"/>
      <c r="B66" s="1591"/>
      <c r="C66" s="1946"/>
      <c r="D66" s="2109"/>
      <c r="E66" s="2247"/>
      <c r="F66" s="889" t="s">
        <v>44</v>
      </c>
      <c r="G66" s="2227"/>
      <c r="H66" s="2455"/>
      <c r="I66" s="253" t="s">
        <v>87</v>
      </c>
      <c r="J66" s="255">
        <v>0.70199999999999996</v>
      </c>
      <c r="K66" s="255">
        <v>0.70199999999999996</v>
      </c>
      <c r="L66" s="255">
        <v>0.70199999999999996</v>
      </c>
    </row>
    <row r="67" spans="1:12" ht="36" x14ac:dyDescent="0.3">
      <c r="A67" s="1589"/>
      <c r="B67" s="1591"/>
      <c r="C67" s="1946"/>
      <c r="D67" s="2109"/>
      <c r="E67" s="2247"/>
      <c r="F67" s="889" t="s">
        <v>45</v>
      </c>
      <c r="G67" s="2227"/>
      <c r="H67" s="2455"/>
      <c r="I67" s="253" t="s">
        <v>87</v>
      </c>
      <c r="J67" s="256">
        <v>0.70199999999999996</v>
      </c>
      <c r="K67" s="256">
        <v>0.70199999999999996</v>
      </c>
      <c r="L67" s="256">
        <v>0.70199999999999996</v>
      </c>
    </row>
    <row r="68" spans="1:12" ht="34.5" customHeight="1" x14ac:dyDescent="0.3">
      <c r="A68" s="1589"/>
      <c r="B68" s="1591"/>
      <c r="C68" s="1946"/>
      <c r="D68" s="2109"/>
      <c r="E68" s="2247"/>
      <c r="F68" s="889" t="s">
        <v>46</v>
      </c>
      <c r="G68" s="2227"/>
      <c r="H68" s="2455"/>
      <c r="I68" s="253" t="s">
        <v>87</v>
      </c>
      <c r="J68" s="256">
        <v>0.67100000000000004</v>
      </c>
      <c r="K68" s="256">
        <v>0.67100000000000004</v>
      </c>
      <c r="L68" s="256">
        <v>0.67100000000000004</v>
      </c>
    </row>
    <row r="69" spans="1:12" ht="24" customHeight="1" x14ac:dyDescent="0.3">
      <c r="A69" s="1589"/>
      <c r="B69" s="1591"/>
      <c r="C69" s="1946"/>
      <c r="D69" s="2109"/>
      <c r="E69" s="2247"/>
      <c r="F69" s="887" t="s">
        <v>47</v>
      </c>
      <c r="G69" s="2227"/>
      <c r="H69" s="2455"/>
      <c r="I69" s="253" t="s">
        <v>87</v>
      </c>
      <c r="J69" s="256">
        <v>0.70199999999999996</v>
      </c>
      <c r="K69" s="256">
        <v>0.70199999999999996</v>
      </c>
      <c r="L69" s="256">
        <v>0.70199999999999996</v>
      </c>
    </row>
    <row r="70" spans="1:12" ht="34.5" customHeight="1" x14ac:dyDescent="0.3">
      <c r="A70" s="1589"/>
      <c r="B70" s="1591"/>
      <c r="C70" s="1946"/>
      <c r="D70" s="2109"/>
      <c r="E70" s="2247"/>
      <c r="F70" s="888" t="s">
        <v>48</v>
      </c>
      <c r="G70" s="2227"/>
      <c r="H70" s="2455"/>
      <c r="I70" s="253" t="s">
        <v>87</v>
      </c>
      <c r="J70" s="256">
        <v>0.67100000000000004</v>
      </c>
      <c r="K70" s="256">
        <v>0.67100000000000004</v>
      </c>
      <c r="L70" s="256">
        <v>0.67100000000000004</v>
      </c>
    </row>
    <row r="71" spans="1:12" ht="34.5" customHeight="1" x14ac:dyDescent="0.3">
      <c r="A71" s="1589"/>
      <c r="B71" s="1591"/>
      <c r="C71" s="1946"/>
      <c r="D71" s="2109"/>
      <c r="E71" s="2247"/>
      <c r="F71" s="887" t="s">
        <v>49</v>
      </c>
      <c r="G71" s="2227"/>
      <c r="H71" s="2455"/>
      <c r="I71" s="253" t="s">
        <v>87</v>
      </c>
      <c r="J71" s="255">
        <v>0.67100000000000004</v>
      </c>
      <c r="K71" s="255">
        <v>0.67100000000000004</v>
      </c>
      <c r="L71" s="255">
        <v>0.67100000000000004</v>
      </c>
    </row>
    <row r="72" spans="1:12" ht="20.25" customHeight="1" x14ac:dyDescent="0.3">
      <c r="A72" s="1589"/>
      <c r="B72" s="1591"/>
      <c r="C72" s="1946"/>
      <c r="D72" s="2109"/>
      <c r="E72" s="2247"/>
      <c r="F72" s="2225" t="s">
        <v>51</v>
      </c>
      <c r="G72" s="2227"/>
      <c r="H72" s="2455"/>
      <c r="I72" s="257" t="s">
        <v>87</v>
      </c>
      <c r="J72" s="258">
        <v>0.61</v>
      </c>
      <c r="K72" s="258">
        <v>0.61</v>
      </c>
      <c r="L72" s="258">
        <v>0.61</v>
      </c>
    </row>
    <row r="73" spans="1:12" ht="20.25" customHeight="1" thickBot="1" x14ac:dyDescent="0.35">
      <c r="A73" s="1701"/>
      <c r="B73" s="1662"/>
      <c r="C73" s="2218"/>
      <c r="D73" s="2219"/>
      <c r="E73" s="2248"/>
      <c r="F73" s="2226"/>
      <c r="G73" s="2228"/>
      <c r="H73" s="2456"/>
      <c r="I73" s="259" t="s">
        <v>24</v>
      </c>
      <c r="J73" s="109">
        <f>SUM(J59:J72)</f>
        <v>9.06</v>
      </c>
      <c r="K73" s="109">
        <f t="shared" ref="K73:L73" si="3">SUM(K59:K72)</f>
        <v>9.06</v>
      </c>
      <c r="L73" s="185">
        <f t="shared" si="3"/>
        <v>9.06</v>
      </c>
    </row>
    <row r="74" spans="1:12" ht="15" thickBot="1" x14ac:dyDescent="0.35">
      <c r="A74" s="87" t="s">
        <v>15</v>
      </c>
      <c r="B74" s="84" t="s">
        <v>25</v>
      </c>
      <c r="C74" s="2448" t="s">
        <v>80</v>
      </c>
      <c r="D74" s="2449"/>
      <c r="E74" s="2449"/>
      <c r="F74" s="2449"/>
      <c r="G74" s="2450"/>
      <c r="H74" s="2449"/>
      <c r="I74" s="2449"/>
      <c r="J74" s="261">
        <f>J73+J58</f>
        <v>800.66</v>
      </c>
      <c r="K74" s="262">
        <f t="shared" ref="K74:L74" si="4">K73+K58</f>
        <v>823.06</v>
      </c>
      <c r="L74" s="188">
        <f t="shared" si="4"/>
        <v>831.06</v>
      </c>
    </row>
    <row r="75" spans="1:12" ht="26.25" customHeight="1" thickBot="1" x14ac:dyDescent="0.35">
      <c r="A75" s="87" t="s">
        <v>15</v>
      </c>
      <c r="B75" s="84" t="s">
        <v>27</v>
      </c>
      <c r="C75" s="2251" t="s">
        <v>237</v>
      </c>
      <c r="D75" s="2252"/>
      <c r="E75" s="2252"/>
      <c r="F75" s="2252"/>
      <c r="G75" s="2252"/>
      <c r="H75" s="2252"/>
      <c r="I75" s="2253"/>
      <c r="J75" s="2253"/>
      <c r="K75" s="2253"/>
      <c r="L75" s="2254"/>
    </row>
    <row r="76" spans="1:12" ht="66.75" customHeight="1" thickBot="1" x14ac:dyDescent="0.35">
      <c r="A76" s="1690" t="s">
        <v>15</v>
      </c>
      <c r="B76" s="2349" t="s">
        <v>27</v>
      </c>
      <c r="C76" s="2473" t="s">
        <v>15</v>
      </c>
      <c r="D76" s="2474" t="s">
        <v>238</v>
      </c>
      <c r="E76" s="2247" t="s">
        <v>19</v>
      </c>
      <c r="F76" s="2293" t="s">
        <v>20</v>
      </c>
      <c r="G76" s="1998" t="s">
        <v>232</v>
      </c>
      <c r="H76" s="2392" t="s">
        <v>239</v>
      </c>
      <c r="I76" s="665" t="s">
        <v>23</v>
      </c>
      <c r="J76" s="782">
        <f>60+7+31+1.1-1.1-31+16.5-7-16.5</f>
        <v>60</v>
      </c>
      <c r="K76" s="782">
        <v>60</v>
      </c>
      <c r="L76" s="782">
        <v>60</v>
      </c>
    </row>
    <row r="77" spans="1:12" ht="55.5" customHeight="1" thickBot="1" x14ac:dyDescent="0.35">
      <c r="A77" s="1690"/>
      <c r="B77" s="2349"/>
      <c r="C77" s="2473"/>
      <c r="D77" s="2474"/>
      <c r="E77" s="2247"/>
      <c r="F77" s="2294"/>
      <c r="G77" s="1999"/>
      <c r="H77" s="2392"/>
      <c r="I77" s="569" t="s">
        <v>87</v>
      </c>
      <c r="J77" s="256">
        <f>31.12+0.7+2.2+8.2+17.14+2.436+2.16+0.1+0.1+0.8-0.5+0.1-0.083-0.6-0.6-0.1-0.041+0.1+1.1-3.7</f>
        <v>60.631999999999977</v>
      </c>
      <c r="K77" s="256">
        <f>31.12+0.7+2.2+8.2+17.14+2.436+2.16+0.1</f>
        <v>64.055999999999997</v>
      </c>
      <c r="L77" s="256">
        <f>31.12+0.7+2.2+8.2+17.14+2.436+2.16+0.1</f>
        <v>64.055999999999997</v>
      </c>
    </row>
    <row r="78" spans="1:12" ht="26.25" customHeight="1" thickBot="1" x14ac:dyDescent="0.35">
      <c r="A78" s="1690"/>
      <c r="B78" s="2349"/>
      <c r="C78" s="2473"/>
      <c r="D78" s="2474"/>
      <c r="E78" s="2247"/>
      <c r="F78" s="2294"/>
      <c r="G78" s="1999"/>
      <c r="H78" s="2392"/>
      <c r="I78" s="1301" t="s">
        <v>227</v>
      </c>
      <c r="J78" s="1284">
        <f>0+60.5-1.9-6.6-4.5-0.1+0.2</f>
        <v>47.6</v>
      </c>
      <c r="K78" s="1284">
        <v>0</v>
      </c>
      <c r="L78" s="1284">
        <v>0</v>
      </c>
    </row>
    <row r="79" spans="1:12" ht="25.5" customHeight="1" thickBot="1" x14ac:dyDescent="0.35">
      <c r="A79" s="1690"/>
      <c r="B79" s="2349"/>
      <c r="C79" s="2350"/>
      <c r="D79" s="2364"/>
      <c r="E79" s="2248"/>
      <c r="F79" s="2295"/>
      <c r="G79" s="2263"/>
      <c r="H79" s="2388"/>
      <c r="I79" s="311" t="s">
        <v>24</v>
      </c>
      <c r="J79" s="37">
        <f>SUM(J76:J78)</f>
        <v>168.23199999999997</v>
      </c>
      <c r="K79" s="37">
        <f>SUM(K76:K78)</f>
        <v>124.056</v>
      </c>
      <c r="L79" s="37">
        <f>SUM(L76:L78)</f>
        <v>124.056</v>
      </c>
    </row>
    <row r="80" spans="1:12" ht="26.25" customHeight="1" thickBot="1" x14ac:dyDescent="0.35">
      <c r="A80" s="1690" t="s">
        <v>15</v>
      </c>
      <c r="B80" s="2349" t="s">
        <v>27</v>
      </c>
      <c r="C80" s="2350" t="s">
        <v>25</v>
      </c>
      <c r="D80" s="2364" t="s">
        <v>240</v>
      </c>
      <c r="E80" s="2246" t="s">
        <v>19</v>
      </c>
      <c r="F80" s="2293" t="s">
        <v>64</v>
      </c>
      <c r="G80" s="2395" t="s">
        <v>171</v>
      </c>
      <c r="H80" s="2393" t="s">
        <v>22</v>
      </c>
      <c r="I80" s="665" t="s">
        <v>23</v>
      </c>
      <c r="J80" s="778">
        <f>0+60+31+28.2</f>
        <v>119.2</v>
      </c>
      <c r="K80" s="778">
        <v>0</v>
      </c>
      <c r="L80" s="778">
        <v>0</v>
      </c>
    </row>
    <row r="81" spans="1:12" ht="27.75" customHeight="1" thickBot="1" x14ac:dyDescent="0.35">
      <c r="A81" s="1690"/>
      <c r="B81" s="2349"/>
      <c r="C81" s="2350"/>
      <c r="D81" s="2364"/>
      <c r="E81" s="2247"/>
      <c r="F81" s="2294"/>
      <c r="G81" s="2396"/>
      <c r="H81" s="2394"/>
      <c r="I81" s="667" t="s">
        <v>87</v>
      </c>
      <c r="J81" s="258">
        <v>29.2</v>
      </c>
      <c r="K81" s="258">
        <v>29.2</v>
      </c>
      <c r="L81" s="258">
        <v>29.2</v>
      </c>
    </row>
    <row r="82" spans="1:12" ht="15" thickBot="1" x14ac:dyDescent="0.35">
      <c r="A82" s="1690"/>
      <c r="B82" s="2349"/>
      <c r="C82" s="2350"/>
      <c r="D82" s="2364"/>
      <c r="E82" s="2248"/>
      <c r="F82" s="2295"/>
      <c r="G82" s="2397"/>
      <c r="H82" s="2388"/>
      <c r="I82" s="214" t="s">
        <v>24</v>
      </c>
      <c r="J82" s="777">
        <f>SUM(J80:J81)</f>
        <v>148.4</v>
      </c>
      <c r="K82" s="777">
        <f t="shared" ref="K82:L82" si="5">SUM(K80:K81)</f>
        <v>29.2</v>
      </c>
      <c r="L82" s="777">
        <f t="shared" si="5"/>
        <v>29.2</v>
      </c>
    </row>
    <row r="83" spans="1:12" ht="20.25" customHeight="1" thickBot="1" x14ac:dyDescent="0.35">
      <c r="A83" s="87" t="s">
        <v>15</v>
      </c>
      <c r="B83" s="75" t="s">
        <v>27</v>
      </c>
      <c r="C83" s="2475" t="s">
        <v>80</v>
      </c>
      <c r="D83" s="2476"/>
      <c r="E83" s="2476"/>
      <c r="F83" s="2476"/>
      <c r="G83" s="2476"/>
      <c r="H83" s="2476"/>
      <c r="I83" s="2281"/>
      <c r="J83" s="830">
        <f>J79+J82</f>
        <v>316.63199999999995</v>
      </c>
      <c r="K83" s="306">
        <f>K79+K82</f>
        <v>153.256</v>
      </c>
      <c r="L83" s="97">
        <f>L79+L82</f>
        <v>153.256</v>
      </c>
    </row>
    <row r="84" spans="1:12" x14ac:dyDescent="0.3">
      <c r="A84" s="63" t="s">
        <v>15</v>
      </c>
      <c r="B84" s="63"/>
      <c r="C84" s="64"/>
      <c r="D84" s="64"/>
      <c r="E84" s="64"/>
      <c r="F84" s="64"/>
      <c r="G84" s="64"/>
      <c r="H84" s="64"/>
      <c r="I84" s="177" t="s">
        <v>83</v>
      </c>
      <c r="J84" s="178">
        <f>J29+J74+J83</f>
        <v>17336.992000000002</v>
      </c>
      <c r="K84" s="178">
        <f>K29+K74+K83</f>
        <v>4898.2159999999994</v>
      </c>
      <c r="L84" s="178">
        <f>L29+L74+L83</f>
        <v>4906.2159999999994</v>
      </c>
    </row>
    <row r="85" spans="1:12" ht="15.75" customHeight="1" thickBot="1" x14ac:dyDescent="0.35">
      <c r="A85" s="87" t="s">
        <v>25</v>
      </c>
      <c r="B85" s="2477" t="s">
        <v>241</v>
      </c>
      <c r="C85" s="2478"/>
      <c r="D85" s="2478"/>
      <c r="E85" s="2478"/>
      <c r="F85" s="2478"/>
      <c r="G85" s="2478"/>
      <c r="H85" s="2478"/>
      <c r="I85" s="2478"/>
      <c r="J85" s="2478"/>
      <c r="K85" s="2478"/>
      <c r="L85" s="2479"/>
    </row>
    <row r="86" spans="1:12" ht="26.25" customHeight="1" x14ac:dyDescent="0.3">
      <c r="A86" s="181" t="s">
        <v>25</v>
      </c>
      <c r="B86" s="84" t="s">
        <v>15</v>
      </c>
      <c r="C86" s="2399" t="s">
        <v>242</v>
      </c>
      <c r="D86" s="2400"/>
      <c r="E86" s="2400"/>
      <c r="F86" s="2400"/>
      <c r="G86" s="2400"/>
      <c r="H86" s="2400"/>
      <c r="I86" s="2400"/>
      <c r="J86" s="2400"/>
      <c r="K86" s="2400"/>
      <c r="L86" s="2401"/>
    </row>
    <row r="87" spans="1:12" ht="21" customHeight="1" x14ac:dyDescent="0.3">
      <c r="A87" s="1696" t="s">
        <v>25</v>
      </c>
      <c r="B87" s="2404" t="s">
        <v>15</v>
      </c>
      <c r="C87" s="2406" t="s">
        <v>15</v>
      </c>
      <c r="D87" s="2409" t="s">
        <v>243</v>
      </c>
      <c r="E87" s="1997" t="s">
        <v>19</v>
      </c>
      <c r="F87" s="2293" t="s">
        <v>20</v>
      </c>
      <c r="G87" s="1998" t="s">
        <v>244</v>
      </c>
      <c r="H87" s="2292" t="s">
        <v>245</v>
      </c>
      <c r="I87" s="257" t="s">
        <v>23</v>
      </c>
      <c r="J87" s="44">
        <f>840-7-90.5-25-35+16.5</f>
        <v>699</v>
      </c>
      <c r="K87" s="310">
        <v>840</v>
      </c>
      <c r="L87" s="1030">
        <v>840</v>
      </c>
    </row>
    <row r="88" spans="1:12" ht="23.25" customHeight="1" x14ac:dyDescent="0.3">
      <c r="A88" s="2403"/>
      <c r="B88" s="2405"/>
      <c r="C88" s="2407"/>
      <c r="D88" s="2410"/>
      <c r="E88" s="1997"/>
      <c r="F88" s="2294"/>
      <c r="G88" s="1999"/>
      <c r="H88" s="1995"/>
      <c r="I88" s="1028" t="s">
        <v>87</v>
      </c>
      <c r="J88" s="825">
        <f>660.88+35.7+191.3-31.6+43.1</f>
        <v>899.38000000000011</v>
      </c>
      <c r="K88" s="1029">
        <f>660.88+35.7</f>
        <v>696.58</v>
      </c>
      <c r="L88" s="1114">
        <f>660.88+35.7</f>
        <v>696.58</v>
      </c>
    </row>
    <row r="89" spans="1:12" ht="24" customHeight="1" x14ac:dyDescent="0.3">
      <c r="A89" s="1692"/>
      <c r="B89" s="2369"/>
      <c r="C89" s="2408"/>
      <c r="D89" s="2411"/>
      <c r="E89" s="2220"/>
      <c r="F89" s="2295"/>
      <c r="G89" s="2263"/>
      <c r="H89" s="1666"/>
      <c r="I89" s="215" t="s">
        <v>24</v>
      </c>
      <c r="J89" s="2">
        <f>SUM(J87:J88)</f>
        <v>1598.38</v>
      </c>
      <c r="K89" s="2">
        <f t="shared" ref="K89:L89" si="6">SUM(K87:K88)</f>
        <v>1536.58</v>
      </c>
      <c r="L89" s="1216">
        <f t="shared" si="6"/>
        <v>1536.58</v>
      </c>
    </row>
    <row r="90" spans="1:12" ht="20.25" customHeight="1" x14ac:dyDescent="0.3">
      <c r="A90" s="2462" t="s">
        <v>25</v>
      </c>
      <c r="B90" s="2307" t="s">
        <v>15</v>
      </c>
      <c r="C90" s="2402" t="s">
        <v>25</v>
      </c>
      <c r="D90" s="2066" t="s">
        <v>246</v>
      </c>
      <c r="E90" s="1996" t="s">
        <v>19</v>
      </c>
      <c r="F90" s="2293" t="s">
        <v>247</v>
      </c>
      <c r="G90" s="2395" t="s">
        <v>171</v>
      </c>
      <c r="H90" s="2314" t="s">
        <v>22</v>
      </c>
      <c r="I90" s="270" t="s">
        <v>23</v>
      </c>
      <c r="J90" s="847">
        <f>1021+90.5+71.8-31+23+13+126.1+12.6+20.3</f>
        <v>1347.2999999999997</v>
      </c>
      <c r="K90" s="1213">
        <v>2021</v>
      </c>
      <c r="L90" s="1153">
        <v>2021</v>
      </c>
    </row>
    <row r="91" spans="1:12" ht="20.25" customHeight="1" x14ac:dyDescent="0.3">
      <c r="A91" s="2463"/>
      <c r="B91" s="1591"/>
      <c r="C91" s="1946"/>
      <c r="D91" s="2109"/>
      <c r="E91" s="2284"/>
      <c r="F91" s="2294"/>
      <c r="G91" s="2396"/>
      <c r="H91" s="2292"/>
      <c r="I91" s="1302" t="s">
        <v>87</v>
      </c>
      <c r="J91" s="1303">
        <f>627+538+68.3+164.7-73-27.3+69</f>
        <v>1366.7</v>
      </c>
      <c r="K91" s="1214">
        <f>627+538+68.3</f>
        <v>1233.3</v>
      </c>
      <c r="L91" s="1210">
        <f>627+538+68.3</f>
        <v>1233.3</v>
      </c>
    </row>
    <row r="92" spans="1:12" ht="18.75" customHeight="1" x14ac:dyDescent="0.3">
      <c r="A92" s="2463"/>
      <c r="B92" s="1591"/>
      <c r="C92" s="1946"/>
      <c r="D92" s="2109"/>
      <c r="E92" s="2284"/>
      <c r="F92" s="2294"/>
      <c r="G92" s="2396"/>
      <c r="H92" s="2292"/>
      <c r="I92" s="1304" t="s">
        <v>54</v>
      </c>
      <c r="J92" s="1280">
        <v>210</v>
      </c>
      <c r="K92" s="1215">
        <v>210</v>
      </c>
      <c r="L92" s="1211">
        <v>210</v>
      </c>
    </row>
    <row r="93" spans="1:12" ht="21" customHeight="1" x14ac:dyDescent="0.3">
      <c r="A93" s="2463"/>
      <c r="B93" s="1591"/>
      <c r="C93" s="1946"/>
      <c r="D93" s="2109"/>
      <c r="E93" s="2284"/>
      <c r="F93" s="2294"/>
      <c r="G93" s="2396"/>
      <c r="H93" s="2292"/>
      <c r="I93" s="1304" t="s">
        <v>30</v>
      </c>
      <c r="J93" s="1280">
        <v>13</v>
      </c>
      <c r="K93" s="1215">
        <v>0</v>
      </c>
      <c r="L93" s="1212">
        <v>0</v>
      </c>
    </row>
    <row r="94" spans="1:12" ht="19.5" customHeight="1" x14ac:dyDescent="0.3">
      <c r="A94" s="2464"/>
      <c r="B94" s="1662"/>
      <c r="C94" s="2218"/>
      <c r="D94" s="2219"/>
      <c r="E94" s="2285"/>
      <c r="F94" s="2295"/>
      <c r="G94" s="2396"/>
      <c r="H94" s="1666"/>
      <c r="I94" s="215" t="s">
        <v>24</v>
      </c>
      <c r="J94" s="2">
        <f>SUM(J90:J93)</f>
        <v>2937</v>
      </c>
      <c r="K94" s="271">
        <f t="shared" ref="K94:L94" si="7">SUM(K90:K93)</f>
        <v>3464.3</v>
      </c>
      <c r="L94" s="272">
        <f t="shared" si="7"/>
        <v>3464.3</v>
      </c>
    </row>
    <row r="95" spans="1:12" x14ac:dyDescent="0.3">
      <c r="A95" s="2465" t="s">
        <v>25</v>
      </c>
      <c r="B95" s="1695" t="s">
        <v>15</v>
      </c>
      <c r="C95" s="2434" t="s">
        <v>27</v>
      </c>
      <c r="D95" s="2483" t="s">
        <v>248</v>
      </c>
      <c r="E95" s="2247" t="s">
        <v>19</v>
      </c>
      <c r="F95" s="2286" t="s">
        <v>51</v>
      </c>
      <c r="G95" s="2485" t="s">
        <v>171</v>
      </c>
      <c r="H95" s="2290" t="s">
        <v>22</v>
      </c>
      <c r="I95" s="273" t="s">
        <v>87</v>
      </c>
      <c r="J95" s="867">
        <f>27+0.7</f>
        <v>27.7</v>
      </c>
      <c r="K95" s="890">
        <v>27</v>
      </c>
      <c r="L95" s="891">
        <v>27</v>
      </c>
    </row>
    <row r="96" spans="1:12" ht="20.25" customHeight="1" x14ac:dyDescent="0.3">
      <c r="A96" s="1692"/>
      <c r="B96" s="1694"/>
      <c r="C96" s="2435"/>
      <c r="D96" s="2484"/>
      <c r="E96" s="2247"/>
      <c r="F96" s="2287"/>
      <c r="G96" s="2486"/>
      <c r="H96" s="2291"/>
      <c r="I96" s="274" t="s">
        <v>24</v>
      </c>
      <c r="J96" s="275">
        <f>SUM(J95:J95)</f>
        <v>27.7</v>
      </c>
      <c r="K96" s="275">
        <f>SUM(K95:K95)</f>
        <v>27</v>
      </c>
      <c r="L96" s="213">
        <f>SUM(L95:L95)</f>
        <v>27</v>
      </c>
    </row>
    <row r="97" spans="1:12" ht="18.75" customHeight="1" x14ac:dyDescent="0.3">
      <c r="A97" s="2492" t="s">
        <v>25</v>
      </c>
      <c r="B97" s="2495" t="s">
        <v>15</v>
      </c>
      <c r="C97" s="2498" t="s">
        <v>31</v>
      </c>
      <c r="D97" s="2501" t="s">
        <v>249</v>
      </c>
      <c r="E97" s="2504" t="s">
        <v>19</v>
      </c>
      <c r="F97" s="2315" t="s">
        <v>250</v>
      </c>
      <c r="G97" s="2317" t="s">
        <v>251</v>
      </c>
      <c r="H97" s="2389" t="s">
        <v>252</v>
      </c>
      <c r="I97" s="759" t="s">
        <v>23</v>
      </c>
      <c r="J97" s="892">
        <f>109-3.1-4.7</f>
        <v>101.2</v>
      </c>
      <c r="K97" s="892">
        <v>109</v>
      </c>
      <c r="L97" s="892">
        <v>109</v>
      </c>
    </row>
    <row r="98" spans="1:12" x14ac:dyDescent="0.3">
      <c r="A98" s="2493"/>
      <c r="B98" s="2496"/>
      <c r="C98" s="2499"/>
      <c r="D98" s="2502"/>
      <c r="E98" s="2505"/>
      <c r="F98" s="2316"/>
      <c r="G98" s="2318"/>
      <c r="H98" s="2292"/>
      <c r="I98" s="760" t="s">
        <v>87</v>
      </c>
      <c r="J98" s="893">
        <v>78.2</v>
      </c>
      <c r="K98" s="893">
        <v>78.2</v>
      </c>
      <c r="L98" s="893">
        <v>78.2</v>
      </c>
    </row>
    <row r="99" spans="1:12" x14ac:dyDescent="0.3">
      <c r="A99" s="2493"/>
      <c r="B99" s="2496"/>
      <c r="C99" s="2499"/>
      <c r="D99" s="2502"/>
      <c r="E99" s="2505"/>
      <c r="F99" s="2301" t="s">
        <v>64</v>
      </c>
      <c r="G99" s="2508" t="s">
        <v>171</v>
      </c>
      <c r="H99" s="2292"/>
      <c r="I99" s="761" t="s">
        <v>23</v>
      </c>
      <c r="J99" s="894">
        <v>84.7</v>
      </c>
      <c r="K99" s="894">
        <v>84.7</v>
      </c>
      <c r="L99" s="894">
        <v>84.7</v>
      </c>
    </row>
    <row r="100" spans="1:12" ht="15" customHeight="1" x14ac:dyDescent="0.3">
      <c r="A100" s="2493"/>
      <c r="B100" s="2496"/>
      <c r="C100" s="2499"/>
      <c r="D100" s="2502"/>
      <c r="E100" s="2505"/>
      <c r="F100" s="2301"/>
      <c r="G100" s="2508"/>
      <c r="H100" s="2292"/>
      <c r="I100" s="762" t="s">
        <v>87</v>
      </c>
      <c r="J100" s="895">
        <v>30.7</v>
      </c>
      <c r="K100" s="895">
        <v>30.7</v>
      </c>
      <c r="L100" s="895">
        <v>30.7</v>
      </c>
    </row>
    <row r="101" spans="1:12" ht="18" customHeight="1" thickBot="1" x14ac:dyDescent="0.35">
      <c r="A101" s="2494"/>
      <c r="B101" s="2497"/>
      <c r="C101" s="2500"/>
      <c r="D101" s="2503"/>
      <c r="E101" s="2506"/>
      <c r="F101" s="2301"/>
      <c r="G101" s="2509"/>
      <c r="H101" s="2398"/>
      <c r="I101" s="763" t="s">
        <v>24</v>
      </c>
      <c r="J101" s="276">
        <f>SUM(J97:J100)</f>
        <v>294.8</v>
      </c>
      <c r="K101" s="276">
        <f t="shared" ref="K101:L101" si="8">SUM(K97:K100)</f>
        <v>302.59999999999997</v>
      </c>
      <c r="L101" s="277">
        <f t="shared" si="8"/>
        <v>302.59999999999997</v>
      </c>
    </row>
    <row r="102" spans="1:12" ht="26.25" customHeight="1" thickBot="1" x14ac:dyDescent="0.35">
      <c r="A102" s="2510" t="s">
        <v>25</v>
      </c>
      <c r="B102" s="2278" t="s">
        <v>15</v>
      </c>
      <c r="C102" s="2279" t="s">
        <v>33</v>
      </c>
      <c r="D102" s="1983" t="s">
        <v>253</v>
      </c>
      <c r="E102" s="2374" t="s">
        <v>498</v>
      </c>
      <c r="F102" s="2352" t="s">
        <v>64</v>
      </c>
      <c r="G102" s="2114" t="s">
        <v>171</v>
      </c>
      <c r="H102" s="2139" t="s">
        <v>254</v>
      </c>
      <c r="I102" s="498" t="s">
        <v>23</v>
      </c>
      <c r="J102" s="1336">
        <f>45+2</f>
        <v>47</v>
      </c>
      <c r="K102" s="235">
        <v>45</v>
      </c>
      <c r="L102" s="1030">
        <v>45</v>
      </c>
    </row>
    <row r="103" spans="1:12" ht="29.25" customHeight="1" thickBot="1" x14ac:dyDescent="0.35">
      <c r="A103" s="2510"/>
      <c r="B103" s="2278"/>
      <c r="C103" s="2279"/>
      <c r="D103" s="1983"/>
      <c r="E103" s="2046"/>
      <c r="F103" s="2353"/>
      <c r="G103" s="2115"/>
      <c r="H103" s="2139"/>
      <c r="I103" s="1340" t="s">
        <v>24</v>
      </c>
      <c r="J103" s="1341">
        <f>SUM(J102:J102)</f>
        <v>47</v>
      </c>
      <c r="K103" s="1341">
        <f>SUM(K102:K102)</f>
        <v>45</v>
      </c>
      <c r="L103" s="791">
        <f>SUM(L102:L102)</f>
        <v>45</v>
      </c>
    </row>
    <row r="104" spans="1:12" ht="27" customHeight="1" x14ac:dyDescent="0.3">
      <c r="A104" s="2443" t="s">
        <v>25</v>
      </c>
      <c r="B104" s="2327" t="s">
        <v>15</v>
      </c>
      <c r="C104" s="2330" t="s">
        <v>66</v>
      </c>
      <c r="D104" s="2333" t="s">
        <v>255</v>
      </c>
      <c r="E104" s="2336" t="s">
        <v>498</v>
      </c>
      <c r="F104" s="2338" t="s">
        <v>20</v>
      </c>
      <c r="G104" s="2338" t="s">
        <v>178</v>
      </c>
      <c r="H104" s="2489" t="s">
        <v>256</v>
      </c>
      <c r="I104" s="1337" t="s">
        <v>23</v>
      </c>
      <c r="J104" s="1338">
        <v>0</v>
      </c>
      <c r="K104" s="1339">
        <v>25</v>
      </c>
      <c r="L104" s="894">
        <v>176.5</v>
      </c>
    </row>
    <row r="105" spans="1:12" ht="23.25" customHeight="1" thickBot="1" x14ac:dyDescent="0.35">
      <c r="A105" s="2510"/>
      <c r="B105" s="2328"/>
      <c r="C105" s="2331"/>
      <c r="D105" s="2334"/>
      <c r="E105" s="2336"/>
      <c r="F105" s="2338"/>
      <c r="G105" s="2338"/>
      <c r="H105" s="2490"/>
      <c r="I105" s="1217" t="s">
        <v>180</v>
      </c>
      <c r="J105" s="1177">
        <v>0</v>
      </c>
      <c r="K105" s="1173">
        <v>140</v>
      </c>
      <c r="L105" s="1179">
        <v>10000</v>
      </c>
    </row>
    <row r="106" spans="1:12" ht="23.25" customHeight="1" x14ac:dyDescent="0.3">
      <c r="A106" s="2444"/>
      <c r="B106" s="2329"/>
      <c r="C106" s="2332"/>
      <c r="D106" s="2335"/>
      <c r="E106" s="2337"/>
      <c r="F106" s="2339"/>
      <c r="G106" s="2507"/>
      <c r="H106" s="2491"/>
      <c r="I106" s="546" t="s">
        <v>24</v>
      </c>
      <c r="J106" s="281">
        <f>SUM(J104:J104)</f>
        <v>0</v>
      </c>
      <c r="K106" s="281">
        <f>K104+K105</f>
        <v>165</v>
      </c>
      <c r="L106" s="281">
        <f>L104+L105</f>
        <v>10176.5</v>
      </c>
    </row>
    <row r="107" spans="1:12" x14ac:dyDescent="0.3">
      <c r="A107" s="76" t="s">
        <v>25</v>
      </c>
      <c r="B107" s="97" t="s">
        <v>15</v>
      </c>
      <c r="C107" s="2308" t="s">
        <v>80</v>
      </c>
      <c r="D107" s="2309"/>
      <c r="E107" s="2309"/>
      <c r="F107" s="2309"/>
      <c r="G107" s="2309"/>
      <c r="H107" s="2309"/>
      <c r="I107" s="2309"/>
      <c r="J107" s="284">
        <f>J89+J94+J96+J101+J103+J106</f>
        <v>4904.88</v>
      </c>
      <c r="K107" s="284">
        <f>K89+K94+K96+K101+K103+K106</f>
        <v>5540.4800000000005</v>
      </c>
      <c r="L107" s="52">
        <f>L89+L94+L96+L101+L103+L106</f>
        <v>15551.98</v>
      </c>
    </row>
    <row r="108" spans="1:12" x14ac:dyDescent="0.3">
      <c r="A108" s="63" t="s">
        <v>25</v>
      </c>
      <c r="B108" s="179"/>
      <c r="C108" s="105"/>
      <c r="D108" s="105"/>
      <c r="E108" s="105"/>
      <c r="F108" s="105"/>
      <c r="G108" s="105"/>
      <c r="H108" s="105"/>
      <c r="I108" s="285" t="s">
        <v>83</v>
      </c>
      <c r="J108" s="178">
        <f>SUM(J107)</f>
        <v>4904.88</v>
      </c>
      <c r="K108" s="178">
        <f t="shared" ref="K108:L108" si="9">SUM(K107)</f>
        <v>5540.4800000000005</v>
      </c>
      <c r="L108" s="178">
        <f t="shared" si="9"/>
        <v>15551.98</v>
      </c>
    </row>
    <row r="109" spans="1:12" x14ac:dyDescent="0.3">
      <c r="A109" s="87" t="s">
        <v>27</v>
      </c>
      <c r="B109" s="2319" t="s">
        <v>257</v>
      </c>
      <c r="C109" s="2320"/>
      <c r="D109" s="2320"/>
      <c r="E109" s="2320"/>
      <c r="F109" s="2320"/>
      <c r="G109" s="2320"/>
      <c r="H109" s="2320"/>
      <c r="I109" s="2320"/>
      <c r="J109" s="2320"/>
      <c r="K109" s="2320"/>
      <c r="L109" s="2321"/>
    </row>
    <row r="110" spans="1:12" ht="25.5" customHeight="1" x14ac:dyDescent="0.3">
      <c r="A110" s="181" t="s">
        <v>27</v>
      </c>
      <c r="B110" s="286" t="s">
        <v>15</v>
      </c>
      <c r="C110" s="2322" t="s">
        <v>258</v>
      </c>
      <c r="D110" s="2323"/>
      <c r="E110" s="2323"/>
      <c r="F110" s="2323"/>
      <c r="G110" s="2323"/>
      <c r="H110" s="2323"/>
      <c r="I110" s="2323"/>
      <c r="J110" s="2323"/>
      <c r="K110" s="2323"/>
      <c r="L110" s="2324"/>
    </row>
    <row r="111" spans="1:12" x14ac:dyDescent="0.3">
      <c r="A111" s="1690" t="s">
        <v>27</v>
      </c>
      <c r="B111" s="2310" t="s">
        <v>15</v>
      </c>
      <c r="C111" s="2311" t="s">
        <v>15</v>
      </c>
      <c r="D111" s="2312" t="s">
        <v>259</v>
      </c>
      <c r="E111" s="2343" t="s">
        <v>19</v>
      </c>
      <c r="F111" s="2340" t="s">
        <v>20</v>
      </c>
      <c r="G111" s="2340" t="s">
        <v>251</v>
      </c>
      <c r="H111" s="2480" t="s">
        <v>260</v>
      </c>
      <c r="I111" s="2487" t="s">
        <v>87</v>
      </c>
      <c r="J111" s="2325">
        <f>54.705+19-17.25</f>
        <v>56.454999999999998</v>
      </c>
      <c r="K111" s="2325">
        <v>54.71</v>
      </c>
      <c r="L111" s="2325">
        <v>54.71</v>
      </c>
    </row>
    <row r="112" spans="1:12" ht="21" customHeight="1" x14ac:dyDescent="0.3">
      <c r="A112" s="1690"/>
      <c r="B112" s="2310"/>
      <c r="C112" s="2311"/>
      <c r="D112" s="2313"/>
      <c r="E112" s="2344"/>
      <c r="F112" s="2341"/>
      <c r="G112" s="2341"/>
      <c r="H112" s="2481"/>
      <c r="I112" s="2488"/>
      <c r="J112" s="2326"/>
      <c r="K112" s="2326"/>
      <c r="L112" s="2326"/>
    </row>
    <row r="113" spans="1:12" ht="26.25" customHeight="1" x14ac:dyDescent="0.3">
      <c r="A113" s="1690"/>
      <c r="B113" s="2310"/>
      <c r="C113" s="2311"/>
      <c r="D113" s="2313"/>
      <c r="E113" s="2345"/>
      <c r="F113" s="2342"/>
      <c r="G113" s="2342"/>
      <c r="H113" s="2482"/>
      <c r="I113" s="628" t="s">
        <v>24</v>
      </c>
      <c r="J113" s="2">
        <f>SUM(J111:J111)</f>
        <v>56.454999999999998</v>
      </c>
      <c r="K113" s="2">
        <f>SUM(K111:K111)</f>
        <v>54.71</v>
      </c>
      <c r="L113" s="4">
        <f>SUM(L111:L111)</f>
        <v>54.71</v>
      </c>
    </row>
    <row r="114" spans="1:12" ht="34.5" customHeight="1" thickBot="1" x14ac:dyDescent="0.35">
      <c r="A114" s="1690" t="s">
        <v>27</v>
      </c>
      <c r="B114" s="2310" t="s">
        <v>15</v>
      </c>
      <c r="C114" s="2348" t="s">
        <v>25</v>
      </c>
      <c r="D114" s="2313" t="s">
        <v>261</v>
      </c>
      <c r="E114" s="2587" t="s">
        <v>19</v>
      </c>
      <c r="F114" s="2346" t="s">
        <v>247</v>
      </c>
      <c r="G114" s="2346" t="s">
        <v>171</v>
      </c>
      <c r="H114" s="2487" t="s">
        <v>262</v>
      </c>
      <c r="I114" s="287" t="s">
        <v>23</v>
      </c>
      <c r="J114" s="264">
        <v>0</v>
      </c>
      <c r="K114" s="264">
        <v>0</v>
      </c>
      <c r="L114" s="556">
        <v>0</v>
      </c>
    </row>
    <row r="115" spans="1:12" ht="50.25" customHeight="1" thickBot="1" x14ac:dyDescent="0.35">
      <c r="A115" s="1690"/>
      <c r="B115" s="2310"/>
      <c r="C115" s="2348"/>
      <c r="D115" s="2313"/>
      <c r="E115" s="2588"/>
      <c r="F115" s="2347"/>
      <c r="G115" s="2347"/>
      <c r="H115" s="2664"/>
      <c r="I115" s="628" t="s">
        <v>24</v>
      </c>
      <c r="J115" s="2">
        <f>SUM(J114:J114)</f>
        <v>0</v>
      </c>
      <c r="K115" s="2">
        <f>SUM(K114:K114)</f>
        <v>0</v>
      </c>
      <c r="L115" s="4">
        <f>SUM(L114:L114)</f>
        <v>0</v>
      </c>
    </row>
    <row r="116" spans="1:12" ht="42.75" customHeight="1" thickBot="1" x14ac:dyDescent="0.35">
      <c r="A116" s="1690" t="s">
        <v>27</v>
      </c>
      <c r="B116" s="2310" t="s">
        <v>15</v>
      </c>
      <c r="C116" s="2348" t="s">
        <v>27</v>
      </c>
      <c r="D116" s="2313" t="s">
        <v>263</v>
      </c>
      <c r="E116" s="2587" t="s">
        <v>19</v>
      </c>
      <c r="F116" s="2346" t="s">
        <v>20</v>
      </c>
      <c r="G116" s="2346" t="s">
        <v>251</v>
      </c>
      <c r="H116" s="2487" t="s">
        <v>264</v>
      </c>
      <c r="I116" s="287" t="s">
        <v>87</v>
      </c>
      <c r="J116" s="865">
        <f>72.013-2.764-1.4</f>
        <v>67.849000000000004</v>
      </c>
      <c r="K116" s="865">
        <v>72</v>
      </c>
      <c r="L116" s="866">
        <v>72</v>
      </c>
    </row>
    <row r="117" spans="1:12" ht="30.75" customHeight="1" thickBot="1" x14ac:dyDescent="0.35">
      <c r="A117" s="1692"/>
      <c r="B117" s="2592"/>
      <c r="C117" s="2593"/>
      <c r="D117" s="2594"/>
      <c r="E117" s="2553"/>
      <c r="F117" s="2574"/>
      <c r="G117" s="2574"/>
      <c r="H117" s="2665"/>
      <c r="I117" s="771" t="s">
        <v>24</v>
      </c>
      <c r="J117" s="212">
        <f>SUM(J116:J116)</f>
        <v>67.849000000000004</v>
      </c>
      <c r="K117" s="212">
        <f>SUM(K116:K116)</f>
        <v>72</v>
      </c>
      <c r="L117" s="213">
        <f>SUM(L116:L116)</f>
        <v>72</v>
      </c>
    </row>
    <row r="118" spans="1:12" ht="27" customHeight="1" thickBot="1" x14ac:dyDescent="0.35">
      <c r="A118" s="2578" t="s">
        <v>27</v>
      </c>
      <c r="B118" s="2548" t="s">
        <v>15</v>
      </c>
      <c r="C118" s="2568" t="s">
        <v>31</v>
      </c>
      <c r="D118" s="2571" t="s">
        <v>265</v>
      </c>
      <c r="E118" s="2552" t="s">
        <v>19</v>
      </c>
      <c r="F118" s="629" t="s">
        <v>20</v>
      </c>
      <c r="G118" s="2589" t="s">
        <v>171</v>
      </c>
      <c r="H118" s="2565" t="s">
        <v>266</v>
      </c>
      <c r="I118" s="625" t="s">
        <v>23</v>
      </c>
      <c r="J118" s="896">
        <v>0</v>
      </c>
      <c r="K118" s="896">
        <v>0</v>
      </c>
      <c r="L118" s="897">
        <v>0</v>
      </c>
    </row>
    <row r="119" spans="1:12" ht="27" customHeight="1" thickBot="1" x14ac:dyDescent="0.35">
      <c r="A119" s="2465"/>
      <c r="B119" s="2549"/>
      <c r="C119" s="2569"/>
      <c r="D119" s="2572"/>
      <c r="E119" s="2553"/>
      <c r="F119" s="2346" t="s">
        <v>247</v>
      </c>
      <c r="G119" s="2590"/>
      <c r="H119" s="2566"/>
      <c r="I119" s="38" t="s">
        <v>23</v>
      </c>
      <c r="J119" s="896">
        <f>43.5+5+53.1-48.5</f>
        <v>53.099999999999994</v>
      </c>
      <c r="K119" s="896">
        <v>43.5</v>
      </c>
      <c r="L119" s="896">
        <v>43.5</v>
      </c>
    </row>
    <row r="120" spans="1:12" ht="15.75" customHeight="1" x14ac:dyDescent="0.3">
      <c r="A120" s="1690"/>
      <c r="B120" s="2310"/>
      <c r="C120" s="2348"/>
      <c r="D120" s="2313"/>
      <c r="E120" s="2553"/>
      <c r="F120" s="2574"/>
      <c r="G120" s="2590"/>
      <c r="H120" s="2566"/>
      <c r="I120" s="848" t="s">
        <v>87</v>
      </c>
      <c r="J120" s="624">
        <f>121.816+40.5</f>
        <v>162.316</v>
      </c>
      <c r="K120" s="624">
        <v>121.816</v>
      </c>
      <c r="L120" s="624">
        <v>121.816</v>
      </c>
    </row>
    <row r="121" spans="1:12" ht="15" customHeight="1" x14ac:dyDescent="0.3">
      <c r="A121" s="2579"/>
      <c r="B121" s="2550"/>
      <c r="C121" s="2570"/>
      <c r="D121" s="2573"/>
      <c r="E121" s="2554"/>
      <c r="F121" s="2347"/>
      <c r="G121" s="2591"/>
      <c r="H121" s="2567"/>
      <c r="I121" s="626" t="s">
        <v>24</v>
      </c>
      <c r="J121" s="29">
        <f>SUM(J118:J120)</f>
        <v>215.416</v>
      </c>
      <c r="K121" s="29">
        <f t="shared" ref="K121:L121" si="10">SUM(K118:K120)</f>
        <v>165.316</v>
      </c>
      <c r="L121" s="30">
        <f t="shared" si="10"/>
        <v>165.316</v>
      </c>
    </row>
    <row r="122" spans="1:12" ht="15" customHeight="1" x14ac:dyDescent="0.3">
      <c r="A122" s="2510" t="s">
        <v>27</v>
      </c>
      <c r="B122" s="2328" t="s">
        <v>15</v>
      </c>
      <c r="C122" s="2514" t="s">
        <v>33</v>
      </c>
      <c r="D122" s="2516" t="s">
        <v>267</v>
      </c>
      <c r="E122" s="2518" t="s">
        <v>19</v>
      </c>
      <c r="F122" s="2520" t="s">
        <v>51</v>
      </c>
      <c r="G122" s="2551" t="s">
        <v>171</v>
      </c>
      <c r="H122" s="2557" t="s">
        <v>256</v>
      </c>
      <c r="I122" s="1221" t="s">
        <v>23</v>
      </c>
      <c r="J122" s="898">
        <v>210.1</v>
      </c>
      <c r="K122" s="898">
        <v>210.1</v>
      </c>
      <c r="L122" s="1070">
        <v>210.1</v>
      </c>
    </row>
    <row r="123" spans="1:12" ht="15" customHeight="1" x14ac:dyDescent="0.3">
      <c r="A123" s="2510"/>
      <c r="B123" s="2328"/>
      <c r="C123" s="2514"/>
      <c r="D123" s="2516"/>
      <c r="E123" s="2518"/>
      <c r="F123" s="2520"/>
      <c r="G123" s="2551"/>
      <c r="H123" s="2557"/>
      <c r="I123" s="1222" t="s">
        <v>87</v>
      </c>
      <c r="J123" s="899">
        <f>326+24</f>
        <v>350</v>
      </c>
      <c r="K123" s="899">
        <f>326</f>
        <v>326</v>
      </c>
      <c r="L123" s="1218">
        <f>326</f>
        <v>326</v>
      </c>
    </row>
    <row r="124" spans="1:12" ht="15" customHeight="1" x14ac:dyDescent="0.3">
      <c r="A124" s="2510"/>
      <c r="B124" s="2328"/>
      <c r="C124" s="2514"/>
      <c r="D124" s="2516"/>
      <c r="E124" s="2518"/>
      <c r="F124" s="2520"/>
      <c r="G124" s="2551"/>
      <c r="H124" s="2557"/>
      <c r="I124" s="1223" t="s">
        <v>54</v>
      </c>
      <c r="J124" s="900">
        <f>0+41+65</f>
        <v>106</v>
      </c>
      <c r="K124" s="900">
        <v>0</v>
      </c>
      <c r="L124" s="1219">
        <v>0</v>
      </c>
    </row>
    <row r="125" spans="1:12" ht="15" customHeight="1" x14ac:dyDescent="0.3">
      <c r="A125" s="2510"/>
      <c r="B125" s="2328"/>
      <c r="C125" s="2514"/>
      <c r="D125" s="2516"/>
      <c r="E125" s="2518"/>
      <c r="F125" s="2520"/>
      <c r="G125" s="2551"/>
      <c r="H125" s="2557"/>
      <c r="I125" s="1095" t="s">
        <v>30</v>
      </c>
      <c r="J125" s="1225">
        <f>0.3+34.7-0.4</f>
        <v>34.6</v>
      </c>
      <c r="K125" s="1225">
        <v>0</v>
      </c>
      <c r="L125" s="1220">
        <v>0</v>
      </c>
    </row>
    <row r="126" spans="1:12" ht="15" customHeight="1" x14ac:dyDescent="0.3">
      <c r="A126" s="2444"/>
      <c r="B126" s="2329"/>
      <c r="C126" s="2515"/>
      <c r="D126" s="2517"/>
      <c r="E126" s="2519"/>
      <c r="F126" s="2520"/>
      <c r="G126" s="2551"/>
      <c r="H126" s="2558"/>
      <c r="I126" s="627" t="s">
        <v>24</v>
      </c>
      <c r="J126" s="1224">
        <f>SUM(J122:J125)</f>
        <v>700.7</v>
      </c>
      <c r="K126" s="1224">
        <f t="shared" ref="K126:L126" si="11">SUM(K122:K125)</f>
        <v>536.1</v>
      </c>
      <c r="L126" s="1027">
        <f t="shared" si="11"/>
        <v>536.1</v>
      </c>
    </row>
    <row r="127" spans="1:12" ht="22.5" customHeight="1" x14ac:dyDescent="0.3">
      <c r="A127" s="2443" t="s">
        <v>27</v>
      </c>
      <c r="B127" s="2327" t="s">
        <v>15</v>
      </c>
      <c r="C127" s="2536" t="s">
        <v>66</v>
      </c>
      <c r="D127" s="2580" t="s">
        <v>268</v>
      </c>
      <c r="E127" s="2582" t="s">
        <v>177</v>
      </c>
      <c r="F127" s="2576" t="s">
        <v>20</v>
      </c>
      <c r="G127" s="2585" t="s">
        <v>251</v>
      </c>
      <c r="H127" s="2559" t="s">
        <v>22</v>
      </c>
      <c r="I127" s="288" t="s">
        <v>87</v>
      </c>
      <c r="J127" s="44">
        <f>24.419-10.1-2.8</f>
        <v>11.519000000000002</v>
      </c>
      <c r="K127" s="44">
        <v>24.419</v>
      </c>
      <c r="L127" s="44">
        <v>24.419</v>
      </c>
    </row>
    <row r="128" spans="1:12" ht="18.75" customHeight="1" thickBot="1" x14ac:dyDescent="0.35">
      <c r="A128" s="2444"/>
      <c r="B128" s="2329"/>
      <c r="C128" s="2515"/>
      <c r="D128" s="2581"/>
      <c r="E128" s="2583"/>
      <c r="F128" s="2584"/>
      <c r="G128" s="2586"/>
      <c r="H128" s="2560"/>
      <c r="I128" s="798" t="s">
        <v>24</v>
      </c>
      <c r="J128" s="2">
        <f>SUM(J127)</f>
        <v>11.519000000000002</v>
      </c>
      <c r="K128" s="271">
        <f t="shared" ref="K128:L128" si="12">SUM(K127)</f>
        <v>24.419</v>
      </c>
      <c r="L128" s="283">
        <f t="shared" si="12"/>
        <v>24.419</v>
      </c>
    </row>
    <row r="129" spans="1:21" ht="18.75" customHeight="1" x14ac:dyDescent="0.3">
      <c r="A129" s="2510" t="s">
        <v>27</v>
      </c>
      <c r="B129" s="2328" t="s">
        <v>15</v>
      </c>
      <c r="C129" s="2514" t="s">
        <v>72</v>
      </c>
      <c r="D129" s="2516" t="s">
        <v>269</v>
      </c>
      <c r="E129" s="2518" t="s">
        <v>177</v>
      </c>
      <c r="F129" s="2524" t="s">
        <v>20</v>
      </c>
      <c r="G129" s="2576" t="s">
        <v>251</v>
      </c>
      <c r="H129" s="2561" t="s">
        <v>270</v>
      </c>
      <c r="I129" s="799" t="s">
        <v>23</v>
      </c>
      <c r="J129" s="797">
        <v>0</v>
      </c>
      <c r="K129" s="265">
        <v>0</v>
      </c>
      <c r="L129" s="289">
        <v>0</v>
      </c>
    </row>
    <row r="130" spans="1:21" ht="16.5" customHeight="1" thickBot="1" x14ac:dyDescent="0.35">
      <c r="A130" s="2510"/>
      <c r="B130" s="2328"/>
      <c r="C130" s="2514"/>
      <c r="D130" s="2516"/>
      <c r="E130" s="2518"/>
      <c r="F130" s="2520"/>
      <c r="G130" s="2577"/>
      <c r="H130" s="2561"/>
      <c r="I130" s="800" t="s">
        <v>87</v>
      </c>
      <c r="J130" s="1305">
        <v>0</v>
      </c>
      <c r="K130" s="1215">
        <v>0</v>
      </c>
      <c r="L130" s="1306">
        <v>0</v>
      </c>
      <c r="M130" s="531"/>
      <c r="N130" s="531"/>
      <c r="O130" s="531"/>
      <c r="P130" s="531"/>
      <c r="Q130" s="531"/>
      <c r="R130" s="531"/>
      <c r="S130" s="531"/>
      <c r="T130" s="531"/>
      <c r="U130" s="531"/>
    </row>
    <row r="131" spans="1:21" ht="16.5" customHeight="1" thickBot="1" x14ac:dyDescent="0.35">
      <c r="A131" s="2510"/>
      <c r="B131" s="2328"/>
      <c r="C131" s="2514"/>
      <c r="D131" s="2516"/>
      <c r="E131" s="2518"/>
      <c r="F131" s="2520"/>
      <c r="G131" s="2577"/>
      <c r="H131" s="2561"/>
      <c r="I131" s="1099" t="s">
        <v>30</v>
      </c>
      <c r="J131" s="1305">
        <v>4.8</v>
      </c>
      <c r="K131" s="1215">
        <v>0</v>
      </c>
      <c r="L131" s="1307">
        <v>0</v>
      </c>
      <c r="M131" s="531"/>
      <c r="N131" s="531"/>
      <c r="O131" s="531"/>
      <c r="P131" s="531"/>
      <c r="Q131" s="531"/>
      <c r="R131" s="531"/>
      <c r="S131" s="531"/>
      <c r="T131" s="531"/>
      <c r="U131" s="531"/>
    </row>
    <row r="132" spans="1:21" ht="43.5" customHeight="1" x14ac:dyDescent="0.3">
      <c r="A132" s="2510"/>
      <c r="B132" s="2328"/>
      <c r="C132" s="2514"/>
      <c r="D132" s="2516"/>
      <c r="E132" s="2518"/>
      <c r="F132" s="2520"/>
      <c r="G132" s="2577"/>
      <c r="H132" s="2561"/>
      <c r="I132" s="823" t="s">
        <v>24</v>
      </c>
      <c r="J132" s="789">
        <f>SUM(J129:J131)</f>
        <v>4.8</v>
      </c>
      <c r="K132" s="789">
        <f t="shared" ref="K132:L132" si="13">SUM(K129:K131)</f>
        <v>0</v>
      </c>
      <c r="L132" s="37">
        <f t="shared" si="13"/>
        <v>0</v>
      </c>
      <c r="M132" s="531"/>
      <c r="N132" s="531"/>
      <c r="O132" s="531"/>
      <c r="P132" s="531"/>
      <c r="Q132" s="531"/>
      <c r="R132" s="531"/>
      <c r="S132" s="531"/>
      <c r="T132" s="531"/>
      <c r="U132" s="531"/>
    </row>
    <row r="133" spans="1:21" ht="36" customHeight="1" thickBot="1" x14ac:dyDescent="0.35">
      <c r="A133" s="2443" t="s">
        <v>27</v>
      </c>
      <c r="B133" s="2327" t="s">
        <v>15</v>
      </c>
      <c r="C133" s="2536" t="s">
        <v>74</v>
      </c>
      <c r="D133" s="2575" t="s">
        <v>271</v>
      </c>
      <c r="E133" s="2527" t="s">
        <v>498</v>
      </c>
      <c r="F133" s="1522" t="s">
        <v>20</v>
      </c>
      <c r="G133" s="2274" t="s">
        <v>178</v>
      </c>
      <c r="H133" s="2562" t="s">
        <v>272</v>
      </c>
      <c r="I133" s="1226" t="s">
        <v>23</v>
      </c>
      <c r="J133" s="1405">
        <f>160-66-86-8</f>
        <v>0</v>
      </c>
      <c r="K133" s="1405">
        <v>21.2</v>
      </c>
      <c r="L133" s="1405">
        <v>21.2</v>
      </c>
    </row>
    <row r="134" spans="1:21" ht="21" customHeight="1" thickBot="1" x14ac:dyDescent="0.35">
      <c r="A134" s="2510"/>
      <c r="B134" s="2328"/>
      <c r="C134" s="2514"/>
      <c r="D134" s="2516"/>
      <c r="E134" s="2518"/>
      <c r="F134" s="1523"/>
      <c r="G134" s="2275"/>
      <c r="H134" s="2563"/>
      <c r="I134" s="1429" t="s">
        <v>324</v>
      </c>
      <c r="J134" s="1430">
        <f>0+264.1</f>
        <v>264.10000000000002</v>
      </c>
      <c r="K134" s="1430">
        <v>0</v>
      </c>
      <c r="L134" s="1430">
        <v>0</v>
      </c>
    </row>
    <row r="135" spans="1:21" ht="22.5" customHeight="1" x14ac:dyDescent="0.3">
      <c r="A135" s="2510"/>
      <c r="B135" s="2328"/>
      <c r="C135" s="2514"/>
      <c r="D135" s="2516"/>
      <c r="E135" s="2518"/>
      <c r="F135" s="2655"/>
      <c r="G135" s="2276"/>
      <c r="H135" s="2563"/>
      <c r="I135" s="1226" t="s">
        <v>180</v>
      </c>
      <c r="J135" s="870">
        <v>0</v>
      </c>
      <c r="K135" s="870">
        <v>120</v>
      </c>
      <c r="L135" s="870">
        <v>120</v>
      </c>
    </row>
    <row r="136" spans="1:21" ht="18.75" customHeight="1" x14ac:dyDescent="0.3">
      <c r="A136" s="2510"/>
      <c r="B136" s="2328"/>
      <c r="C136" s="2514"/>
      <c r="D136" s="2516"/>
      <c r="E136" s="2518"/>
      <c r="F136" s="2662" t="s">
        <v>51</v>
      </c>
      <c r="G136" s="2555" t="s">
        <v>171</v>
      </c>
      <c r="H136" s="2563"/>
      <c r="I136" s="931" t="s">
        <v>23</v>
      </c>
      <c r="J136" s="1100">
        <f>0+86+20.2</f>
        <v>106.2</v>
      </c>
      <c r="K136" s="1100">
        <v>0</v>
      </c>
      <c r="L136" s="1100">
        <v>0</v>
      </c>
    </row>
    <row r="137" spans="1:21" ht="24.75" customHeight="1" thickBot="1" x14ac:dyDescent="0.35">
      <c r="A137" s="2444"/>
      <c r="B137" s="2329"/>
      <c r="C137" s="2515"/>
      <c r="D137" s="2517"/>
      <c r="E137" s="2519"/>
      <c r="F137" s="2663"/>
      <c r="G137" s="2556"/>
      <c r="H137" s="2564"/>
      <c r="I137" s="790" t="s">
        <v>24</v>
      </c>
      <c r="J137" s="37">
        <f>SUM(J133:J136)</f>
        <v>370.3</v>
      </c>
      <c r="K137" s="37">
        <f t="shared" ref="K137:L137" si="14">SUM(K133:K136)</f>
        <v>141.19999999999999</v>
      </c>
      <c r="L137" s="37">
        <f t="shared" si="14"/>
        <v>141.19999999999999</v>
      </c>
    </row>
    <row r="138" spans="1:21" ht="15" thickBot="1" x14ac:dyDescent="0.35">
      <c r="A138" s="76" t="s">
        <v>27</v>
      </c>
      <c r="B138" s="97" t="s">
        <v>15</v>
      </c>
      <c r="C138" s="2308" t="s">
        <v>80</v>
      </c>
      <c r="D138" s="2309"/>
      <c r="E138" s="2309"/>
      <c r="F138" s="2309"/>
      <c r="G138" s="2309"/>
      <c r="H138" s="2309"/>
      <c r="I138" s="2534"/>
      <c r="J138" s="269">
        <f>J113+J115+J117+J121+J126+J132+J137+J128</f>
        <v>1427.039</v>
      </c>
      <c r="K138" s="291">
        <f>K113+K115+K117+K121+K126+K132+K137+K128</f>
        <v>993.745</v>
      </c>
      <c r="L138" s="307">
        <f>L113+L115+L117+L121+L126+L132+L137+L128</f>
        <v>993.745</v>
      </c>
    </row>
    <row r="139" spans="1:21" ht="15" thickBot="1" x14ac:dyDescent="0.35">
      <c r="A139" s="63" t="s">
        <v>27</v>
      </c>
      <c r="B139" s="179"/>
      <c r="C139" s="105"/>
      <c r="D139" s="105"/>
      <c r="E139" s="105"/>
      <c r="F139" s="105"/>
      <c r="G139" s="105"/>
      <c r="H139" s="105"/>
      <c r="I139" s="285" t="s">
        <v>83</v>
      </c>
      <c r="J139" s="178">
        <f>J138</f>
        <v>1427.039</v>
      </c>
      <c r="K139" s="178">
        <f t="shared" ref="K139:L139" si="15">K138</f>
        <v>993.745</v>
      </c>
      <c r="L139" s="292">
        <f t="shared" si="15"/>
        <v>993.745</v>
      </c>
    </row>
    <row r="140" spans="1:21" ht="32.25" customHeight="1" thickBot="1" x14ac:dyDescent="0.35">
      <c r="A140" s="87" t="s">
        <v>31</v>
      </c>
      <c r="B140" s="2535" t="s">
        <v>273</v>
      </c>
      <c r="C140" s="2478"/>
      <c r="D140" s="2478"/>
      <c r="E140" s="2478"/>
      <c r="F140" s="2478"/>
      <c r="G140" s="2478"/>
      <c r="H140" s="2478"/>
      <c r="I140" s="2478"/>
      <c r="J140" s="2478"/>
      <c r="K140" s="2478"/>
      <c r="L140" s="2479"/>
    </row>
    <row r="141" spans="1:21" ht="25.5" customHeight="1" thickBot="1" x14ac:dyDescent="0.35">
      <c r="A141" s="181" t="s">
        <v>31</v>
      </c>
      <c r="B141" s="84" t="s">
        <v>15</v>
      </c>
      <c r="C141" s="2544" t="s">
        <v>274</v>
      </c>
      <c r="D141" s="2400"/>
      <c r="E141" s="2400"/>
      <c r="F141" s="2400"/>
      <c r="G141" s="2400"/>
      <c r="H141" s="2400"/>
      <c r="I141" s="2400"/>
      <c r="J141" s="2400"/>
      <c r="K141" s="2400"/>
      <c r="L141" s="2545"/>
    </row>
    <row r="142" spans="1:21" ht="19.5" customHeight="1" x14ac:dyDescent="0.3">
      <c r="A142" s="1690" t="s">
        <v>31</v>
      </c>
      <c r="B142" s="2349" t="s">
        <v>15</v>
      </c>
      <c r="C142" s="2530" t="s">
        <v>15</v>
      </c>
      <c r="D142" s="2532" t="s">
        <v>275</v>
      </c>
      <c r="E142" s="2528" t="s">
        <v>177</v>
      </c>
      <c r="F142" s="2546" t="s">
        <v>20</v>
      </c>
      <c r="G142" s="2540" t="s">
        <v>76</v>
      </c>
      <c r="H142" s="2542" t="s">
        <v>276</v>
      </c>
      <c r="I142" s="772" t="s">
        <v>23</v>
      </c>
      <c r="J142" s="622">
        <v>0</v>
      </c>
      <c r="K142" s="622">
        <v>0</v>
      </c>
      <c r="L142" s="35">
        <v>0</v>
      </c>
    </row>
    <row r="143" spans="1:21" x14ac:dyDescent="0.3">
      <c r="A143" s="1690"/>
      <c r="B143" s="2369"/>
      <c r="C143" s="2531"/>
      <c r="D143" s="2533"/>
      <c r="E143" s="2529"/>
      <c r="F143" s="2547"/>
      <c r="G143" s="2541"/>
      <c r="H143" s="2543"/>
      <c r="I143" s="274" t="s">
        <v>24</v>
      </c>
      <c r="J143" s="221">
        <f>SUM(J142:J142)</f>
        <v>0</v>
      </c>
      <c r="K143" s="293">
        <f>SUM(K142:K142)</f>
        <v>0</v>
      </c>
      <c r="L143" s="74">
        <f>SUM(L142:L142)</f>
        <v>0</v>
      </c>
    </row>
    <row r="144" spans="1:21" ht="23.25" customHeight="1" x14ac:dyDescent="0.3">
      <c r="A144" s="1690" t="s">
        <v>31</v>
      </c>
      <c r="B144" s="2305" t="s">
        <v>15</v>
      </c>
      <c r="C144" s="2511" t="s">
        <v>25</v>
      </c>
      <c r="D144" s="2659" t="s">
        <v>277</v>
      </c>
      <c r="E144" s="2521" t="s">
        <v>19</v>
      </c>
      <c r="F144" s="630" t="s">
        <v>20</v>
      </c>
      <c r="G144" s="2354" t="s">
        <v>76</v>
      </c>
      <c r="H144" s="2537" t="s">
        <v>276</v>
      </c>
      <c r="I144" s="1227" t="s">
        <v>87</v>
      </c>
      <c r="J144" s="34">
        <v>28.3</v>
      </c>
      <c r="K144" s="34">
        <v>28.3</v>
      </c>
      <c r="L144" s="457">
        <v>28.3</v>
      </c>
    </row>
    <row r="145" spans="1:12" ht="27" customHeight="1" x14ac:dyDescent="0.3">
      <c r="A145" s="1692"/>
      <c r="B145" s="1694"/>
      <c r="C145" s="2512"/>
      <c r="D145" s="2660"/>
      <c r="E145" s="2522"/>
      <c r="F145" s="2525" t="s">
        <v>64</v>
      </c>
      <c r="G145" s="2355"/>
      <c r="H145" s="2538"/>
      <c r="I145" s="581" t="s">
        <v>87</v>
      </c>
      <c r="J145" s="568">
        <v>58.1</v>
      </c>
      <c r="K145" s="568">
        <v>58.1</v>
      </c>
      <c r="L145" s="613">
        <v>58.1</v>
      </c>
    </row>
    <row r="146" spans="1:12" ht="21" customHeight="1" x14ac:dyDescent="0.3">
      <c r="A146" s="1692"/>
      <c r="B146" s="1694"/>
      <c r="C146" s="2513"/>
      <c r="D146" s="2661"/>
      <c r="E146" s="2523"/>
      <c r="F146" s="2526"/>
      <c r="G146" s="2356"/>
      <c r="H146" s="2539"/>
      <c r="I146" s="295" t="s">
        <v>24</v>
      </c>
      <c r="J146" s="1228">
        <f>SUM(J144:J145)</f>
        <v>86.4</v>
      </c>
      <c r="K146" s="1228">
        <f>SUM(K144:K145)</f>
        <v>86.4</v>
      </c>
      <c r="L146" s="1229">
        <f>SUM(L144:L145)</f>
        <v>86.4</v>
      </c>
    </row>
    <row r="147" spans="1:12" x14ac:dyDescent="0.3">
      <c r="A147" s="87" t="s">
        <v>31</v>
      </c>
      <c r="B147" s="75" t="s">
        <v>15</v>
      </c>
      <c r="C147" s="2280" t="s">
        <v>80</v>
      </c>
      <c r="D147" s="2281"/>
      <c r="E147" s="2476"/>
      <c r="F147" s="2281"/>
      <c r="G147" s="2476"/>
      <c r="H147" s="2476"/>
      <c r="I147" s="2281"/>
      <c r="J147" s="296">
        <f>J143+J146</f>
        <v>86.4</v>
      </c>
      <c r="K147" s="296">
        <f>K143+K146</f>
        <v>86.4</v>
      </c>
      <c r="L147" s="297">
        <f>L143+L146</f>
        <v>86.4</v>
      </c>
    </row>
    <row r="148" spans="1:12" x14ac:dyDescent="0.3">
      <c r="A148" s="63" t="s">
        <v>31</v>
      </c>
      <c r="B148" s="63"/>
      <c r="C148" s="64"/>
      <c r="D148" s="64"/>
      <c r="E148" s="64"/>
      <c r="F148" s="64"/>
      <c r="G148" s="64"/>
      <c r="H148" s="64"/>
      <c r="I148" s="177" t="s">
        <v>83</v>
      </c>
      <c r="J148" s="179">
        <f>J147</f>
        <v>86.4</v>
      </c>
      <c r="K148" s="179">
        <f t="shared" ref="K148:L148" si="16">K147</f>
        <v>86.4</v>
      </c>
      <c r="L148" s="298">
        <f t="shared" si="16"/>
        <v>86.4</v>
      </c>
    </row>
    <row r="149" spans="1:12" x14ac:dyDescent="0.3">
      <c r="A149" s="87" t="s">
        <v>33</v>
      </c>
      <c r="B149" s="2477" t="s">
        <v>278</v>
      </c>
      <c r="C149" s="2478"/>
      <c r="D149" s="2478"/>
      <c r="E149" s="2478"/>
      <c r="F149" s="2478"/>
      <c r="G149" s="2478"/>
      <c r="H149" s="2478"/>
      <c r="I149" s="2478"/>
      <c r="J149" s="2478"/>
      <c r="K149" s="2478"/>
      <c r="L149" s="2479"/>
    </row>
    <row r="150" spans="1:12" x14ac:dyDescent="0.3">
      <c r="A150" s="181" t="s">
        <v>33</v>
      </c>
      <c r="B150" s="84" t="s">
        <v>15</v>
      </c>
      <c r="C150" s="2544" t="s">
        <v>279</v>
      </c>
      <c r="D150" s="2400"/>
      <c r="E150" s="2400"/>
      <c r="F150" s="2400"/>
      <c r="G150" s="2400"/>
      <c r="H150" s="2400"/>
      <c r="I150" s="2400"/>
      <c r="J150" s="2400"/>
      <c r="K150" s="2400"/>
      <c r="L150" s="2401"/>
    </row>
    <row r="151" spans="1:12" x14ac:dyDescent="0.3">
      <c r="A151" s="1690" t="s">
        <v>33</v>
      </c>
      <c r="B151" s="2305" t="s">
        <v>15</v>
      </c>
      <c r="C151" s="2656" t="s">
        <v>15</v>
      </c>
      <c r="D151" s="2363" t="s">
        <v>280</v>
      </c>
      <c r="E151" s="2246" t="s">
        <v>19</v>
      </c>
      <c r="F151" s="2293" t="s">
        <v>65</v>
      </c>
      <c r="G151" s="1998" t="s">
        <v>171</v>
      </c>
      <c r="H151" s="2257" t="s">
        <v>281</v>
      </c>
      <c r="I151" s="6" t="s">
        <v>23</v>
      </c>
      <c r="J151" s="267">
        <v>10.7</v>
      </c>
      <c r="K151" s="268">
        <v>10.7</v>
      </c>
      <c r="L151" s="1230">
        <v>10.7</v>
      </c>
    </row>
    <row r="152" spans="1:12" x14ac:dyDescent="0.3">
      <c r="A152" s="1690"/>
      <c r="B152" s="2305"/>
      <c r="C152" s="2657"/>
      <c r="D152" s="2364"/>
      <c r="E152" s="2247"/>
      <c r="F152" s="2294"/>
      <c r="G152" s="1999"/>
      <c r="H152" s="2258"/>
      <c r="I152" s="299" t="s">
        <v>87</v>
      </c>
      <c r="J152" s="102">
        <v>341.8</v>
      </c>
      <c r="K152" s="300">
        <v>341.8</v>
      </c>
      <c r="L152" s="1231">
        <v>341.8</v>
      </c>
    </row>
    <row r="153" spans="1:12" x14ac:dyDescent="0.3">
      <c r="A153" s="1690"/>
      <c r="B153" s="2305"/>
      <c r="C153" s="2657"/>
      <c r="D153" s="2364"/>
      <c r="E153" s="2247"/>
      <c r="F153" s="2294"/>
      <c r="G153" s="1999"/>
      <c r="H153" s="2258"/>
      <c r="I153" s="301" t="s">
        <v>54</v>
      </c>
      <c r="J153" s="1308">
        <v>8</v>
      </c>
      <c r="K153" s="1234">
        <v>8</v>
      </c>
      <c r="L153" s="1232">
        <v>8</v>
      </c>
    </row>
    <row r="154" spans="1:12" x14ac:dyDescent="0.3">
      <c r="A154" s="1690"/>
      <c r="B154" s="2305"/>
      <c r="C154" s="2657"/>
      <c r="D154" s="2364"/>
      <c r="E154" s="2247"/>
      <c r="F154" s="2294"/>
      <c r="G154" s="1999"/>
      <c r="H154" s="2258"/>
      <c r="I154" s="299" t="s">
        <v>30</v>
      </c>
      <c r="J154" s="1308">
        <v>1.3</v>
      </c>
      <c r="K154" s="1234">
        <v>0</v>
      </c>
      <c r="L154" s="1233">
        <v>0</v>
      </c>
    </row>
    <row r="155" spans="1:12" x14ac:dyDescent="0.3">
      <c r="A155" s="1692"/>
      <c r="B155" s="1694"/>
      <c r="C155" s="2658"/>
      <c r="D155" s="2365"/>
      <c r="E155" s="2248"/>
      <c r="F155" s="2295"/>
      <c r="G155" s="2263"/>
      <c r="H155" s="2259"/>
      <c r="I155" s="302" t="s">
        <v>24</v>
      </c>
      <c r="J155" s="73">
        <f>SUM(J151:J154)</f>
        <v>361.8</v>
      </c>
      <c r="K155" s="73">
        <f t="shared" ref="K155:L155" si="17">SUM(K151:K154)</f>
        <v>360.5</v>
      </c>
      <c r="L155" s="185">
        <f t="shared" si="17"/>
        <v>360.5</v>
      </c>
    </row>
    <row r="156" spans="1:12" ht="15" thickBot="1" x14ac:dyDescent="0.35">
      <c r="A156" s="2633" t="s">
        <v>33</v>
      </c>
      <c r="B156" s="2370" t="s">
        <v>15</v>
      </c>
      <c r="C156" s="2264" t="s">
        <v>25</v>
      </c>
      <c r="D156" s="2268" t="s">
        <v>282</v>
      </c>
      <c r="E156" s="2272" t="s">
        <v>19</v>
      </c>
      <c r="F156" s="2293" t="s">
        <v>20</v>
      </c>
      <c r="G156" s="1998" t="s">
        <v>283</v>
      </c>
      <c r="H156" s="2537" t="s">
        <v>281</v>
      </c>
      <c r="I156" s="303" t="s">
        <v>284</v>
      </c>
      <c r="J156" s="102">
        <v>38</v>
      </c>
      <c r="K156" s="300">
        <v>38</v>
      </c>
      <c r="L156" s="1230">
        <v>38</v>
      </c>
    </row>
    <row r="157" spans="1:12" ht="15" thickBot="1" x14ac:dyDescent="0.35">
      <c r="A157" s="2634"/>
      <c r="B157" s="2371"/>
      <c r="C157" s="2265"/>
      <c r="D157" s="2269"/>
      <c r="E157" s="2273"/>
      <c r="F157" s="2294"/>
      <c r="G157" s="1999"/>
      <c r="H157" s="2538"/>
      <c r="I157" s="303" t="s">
        <v>54</v>
      </c>
      <c r="J157" s="1457">
        <f>0+1.4</f>
        <v>1.4</v>
      </c>
      <c r="K157" s="1458">
        <v>0</v>
      </c>
      <c r="L157" s="1459">
        <v>0</v>
      </c>
    </row>
    <row r="158" spans="1:12" ht="15" thickBot="1" x14ac:dyDescent="0.35">
      <c r="A158" s="2635"/>
      <c r="B158" s="2372"/>
      <c r="C158" s="2266"/>
      <c r="D158" s="2270"/>
      <c r="E158" s="2273"/>
      <c r="F158" s="2294"/>
      <c r="G158" s="1999"/>
      <c r="H158" s="2538"/>
      <c r="I158" s="305" t="s">
        <v>30</v>
      </c>
      <c r="J158" s="1308">
        <v>22.8</v>
      </c>
      <c r="K158" s="1234">
        <v>0</v>
      </c>
      <c r="L158" s="1233">
        <v>0</v>
      </c>
    </row>
    <row r="159" spans="1:12" ht="15" thickBot="1" x14ac:dyDescent="0.35">
      <c r="A159" s="2636"/>
      <c r="B159" s="2373"/>
      <c r="C159" s="2267"/>
      <c r="D159" s="2271"/>
      <c r="E159" s="2273"/>
      <c r="F159" s="2294"/>
      <c r="G159" s="1999"/>
      <c r="H159" s="2538"/>
      <c r="I159" s="1323" t="s">
        <v>24</v>
      </c>
      <c r="J159" s="221">
        <f>SUM(J156:J158)</f>
        <v>62.2</v>
      </c>
      <c r="K159" s="293">
        <f t="shared" ref="K159:L159" si="18">SUM(K156:K158)</f>
        <v>38</v>
      </c>
      <c r="L159" s="1229">
        <f t="shared" si="18"/>
        <v>38</v>
      </c>
    </row>
    <row r="160" spans="1:12" ht="34.5" customHeight="1" x14ac:dyDescent="0.3">
      <c r="A160" s="2443" t="s">
        <v>33</v>
      </c>
      <c r="B160" s="2235" t="s">
        <v>15</v>
      </c>
      <c r="C160" s="2430" t="s">
        <v>27</v>
      </c>
      <c r="D160" s="2603" t="s">
        <v>285</v>
      </c>
      <c r="E160" s="2606" t="s">
        <v>498</v>
      </c>
      <c r="F160" s="2360" t="s">
        <v>65</v>
      </c>
      <c r="G160" s="2047" t="s">
        <v>171</v>
      </c>
      <c r="H160" s="2260" t="s">
        <v>281</v>
      </c>
      <c r="I160" s="1854" t="s">
        <v>23</v>
      </c>
      <c r="J160" s="2653">
        <f>12.1+6</f>
        <v>18.100000000000001</v>
      </c>
      <c r="K160" s="2653">
        <v>17.899999999999999</v>
      </c>
      <c r="L160" s="2653">
        <v>24.7</v>
      </c>
    </row>
    <row r="161" spans="1:12" ht="19.5" customHeight="1" x14ac:dyDescent="0.3">
      <c r="A161" s="2510"/>
      <c r="B161" s="2278"/>
      <c r="C161" s="2431"/>
      <c r="D161" s="2604"/>
      <c r="E161" s="2607"/>
      <c r="F161" s="2361"/>
      <c r="G161" s="2599"/>
      <c r="H161" s="2261"/>
      <c r="I161" s="2652"/>
      <c r="J161" s="2654"/>
      <c r="K161" s="2654"/>
      <c r="L161" s="2654"/>
    </row>
    <row r="162" spans="1:12" ht="20.25" customHeight="1" thickBot="1" x14ac:dyDescent="0.35">
      <c r="A162" s="2444"/>
      <c r="B162" s="2236"/>
      <c r="C162" s="2602"/>
      <c r="D162" s="2605"/>
      <c r="E162" s="2608"/>
      <c r="F162" s="2362"/>
      <c r="G162" s="2048"/>
      <c r="H162" s="2262"/>
      <c r="I162" s="1324" t="s">
        <v>24</v>
      </c>
      <c r="J162" s="109">
        <f>SUM(J160)</f>
        <v>18.100000000000001</v>
      </c>
      <c r="K162" s="109">
        <f t="shared" ref="K162:L162" si="19">SUM(K160)</f>
        <v>17.899999999999999</v>
      </c>
      <c r="L162" s="109">
        <f t="shared" si="19"/>
        <v>24.7</v>
      </c>
    </row>
    <row r="163" spans="1:12" ht="15" thickBot="1" x14ac:dyDescent="0.35">
      <c r="A163" s="76" t="s">
        <v>33</v>
      </c>
      <c r="B163" s="108" t="s">
        <v>15</v>
      </c>
      <c r="C163" s="2035" t="s">
        <v>80</v>
      </c>
      <c r="D163" s="2366"/>
      <c r="E163" s="2366"/>
      <c r="F163" s="2366"/>
      <c r="G163" s="2366"/>
      <c r="H163" s="2366"/>
      <c r="I163" s="2367"/>
      <c r="J163" s="306">
        <f>J155+J159+J162</f>
        <v>442.1</v>
      </c>
      <c r="K163" s="296">
        <f t="shared" ref="K163:L163" si="20">K155+K159+K162</f>
        <v>416.4</v>
      </c>
      <c r="L163" s="307">
        <f t="shared" si="20"/>
        <v>423.2</v>
      </c>
    </row>
    <row r="164" spans="1:12" ht="26.25" customHeight="1" x14ac:dyDescent="0.3">
      <c r="A164" s="181" t="s">
        <v>33</v>
      </c>
      <c r="B164" s="84" t="s">
        <v>25</v>
      </c>
      <c r="C164" s="2609" t="s">
        <v>286</v>
      </c>
      <c r="D164" s="2610"/>
      <c r="E164" s="2610"/>
      <c r="F164" s="2610"/>
      <c r="G164" s="2610"/>
      <c r="H164" s="2610"/>
      <c r="I164" s="2610"/>
      <c r="J164" s="2610"/>
      <c r="K164" s="2610"/>
      <c r="L164" s="2611"/>
    </row>
    <row r="165" spans="1:12" ht="18.75" customHeight="1" x14ac:dyDescent="0.3">
      <c r="A165" s="1696" t="s">
        <v>33</v>
      </c>
      <c r="B165" s="2368" t="s">
        <v>25</v>
      </c>
      <c r="C165" s="2357" t="s">
        <v>15</v>
      </c>
      <c r="D165" s="2600" t="s">
        <v>287</v>
      </c>
      <c r="E165" s="1996" t="s">
        <v>19</v>
      </c>
      <c r="F165" s="2293" t="s">
        <v>20</v>
      </c>
      <c r="G165" s="2358" t="s">
        <v>495</v>
      </c>
      <c r="H165" s="2257" t="s">
        <v>22</v>
      </c>
      <c r="I165" s="631" t="s">
        <v>23</v>
      </c>
      <c r="J165" s="622">
        <f>50+120</f>
        <v>170</v>
      </c>
      <c r="K165" s="623">
        <f t="shared" ref="K165:L165" si="21">50+120</f>
        <v>170</v>
      </c>
      <c r="L165" s="1114">
        <f t="shared" si="21"/>
        <v>170</v>
      </c>
    </row>
    <row r="166" spans="1:12" ht="15.75" customHeight="1" x14ac:dyDescent="0.3">
      <c r="A166" s="1690"/>
      <c r="B166" s="2349"/>
      <c r="C166" s="2350"/>
      <c r="D166" s="2601"/>
      <c r="E166" s="2220"/>
      <c r="F166" s="2295"/>
      <c r="G166" s="2359"/>
      <c r="H166" s="2351"/>
      <c r="I166" s="632" t="s">
        <v>24</v>
      </c>
      <c r="J166" s="2">
        <f>SUM(J165:J165)</f>
        <v>170</v>
      </c>
      <c r="K166" s="271">
        <f>SUM(K165:K165)</f>
        <v>170</v>
      </c>
      <c r="L166" s="478">
        <f>SUM(L165:L165)</f>
        <v>170</v>
      </c>
    </row>
    <row r="167" spans="1:12" ht="56.25" customHeight="1" x14ac:dyDescent="0.3">
      <c r="A167" s="1696" t="s">
        <v>33</v>
      </c>
      <c r="B167" s="2368" t="s">
        <v>25</v>
      </c>
      <c r="C167" s="2375" t="s">
        <v>25</v>
      </c>
      <c r="D167" s="2268" t="s">
        <v>288</v>
      </c>
      <c r="E167" s="2637" t="s">
        <v>19</v>
      </c>
      <c r="F167" s="2293" t="s">
        <v>20</v>
      </c>
      <c r="G167" s="2358" t="s">
        <v>495</v>
      </c>
      <c r="H167" s="2314" t="s">
        <v>289</v>
      </c>
      <c r="I167" s="308" t="s">
        <v>23</v>
      </c>
      <c r="J167" s="264">
        <v>50</v>
      </c>
      <c r="K167" s="265">
        <v>50</v>
      </c>
      <c r="L167" s="1114">
        <v>50</v>
      </c>
    </row>
    <row r="168" spans="1:12" ht="26.25" customHeight="1" x14ac:dyDescent="0.3">
      <c r="A168" s="1692"/>
      <c r="B168" s="2369"/>
      <c r="C168" s="2376"/>
      <c r="D168" s="2651"/>
      <c r="E168" s="2638"/>
      <c r="F168" s="2295"/>
      <c r="G168" s="2359"/>
      <c r="H168" s="2595"/>
      <c r="I168" s="215" t="s">
        <v>24</v>
      </c>
      <c r="J168" s="2">
        <f>SUM(J167:J167)</f>
        <v>50</v>
      </c>
      <c r="K168" s="271">
        <f>SUM(K167:K167)</f>
        <v>50</v>
      </c>
      <c r="L168" s="272">
        <f>SUM(L167:L167)</f>
        <v>50</v>
      </c>
    </row>
    <row r="169" spans="1:12" ht="116.25" customHeight="1" x14ac:dyDescent="0.3">
      <c r="A169" s="2639" t="s">
        <v>33</v>
      </c>
      <c r="B169" s="1543" t="s">
        <v>25</v>
      </c>
      <c r="C169" s="2041" t="s">
        <v>27</v>
      </c>
      <c r="D169" s="2289" t="s">
        <v>290</v>
      </c>
      <c r="E169" s="2045" t="s">
        <v>19</v>
      </c>
      <c r="F169" s="2360" t="s">
        <v>64</v>
      </c>
      <c r="G169" s="2047" t="s">
        <v>171</v>
      </c>
      <c r="H169" s="2304" t="s">
        <v>22</v>
      </c>
      <c r="I169" s="309" t="s">
        <v>23</v>
      </c>
      <c r="J169" s="901">
        <f>133.7+40.1</f>
        <v>173.79999999999998</v>
      </c>
      <c r="K169" s="901">
        <v>133.69999999999999</v>
      </c>
      <c r="L169" s="901">
        <v>133.69999999999999</v>
      </c>
    </row>
    <row r="170" spans="1:12" ht="21.75" customHeight="1" x14ac:dyDescent="0.3">
      <c r="A170" s="2640"/>
      <c r="B170" s="1545"/>
      <c r="C170" s="2042"/>
      <c r="D170" s="2641"/>
      <c r="E170" s="2046"/>
      <c r="F170" s="2362"/>
      <c r="G170" s="2048"/>
      <c r="H170" s="2050"/>
      <c r="I170" s="632" t="s">
        <v>24</v>
      </c>
      <c r="J170" s="2">
        <f>SUM(J169)</f>
        <v>173.79999999999998</v>
      </c>
      <c r="K170" s="2">
        <f t="shared" ref="K170:L170" si="22">SUM(K169)</f>
        <v>133.69999999999999</v>
      </c>
      <c r="L170" s="213">
        <f t="shared" si="22"/>
        <v>133.69999999999999</v>
      </c>
    </row>
    <row r="171" spans="1:12" ht="24.75" customHeight="1" x14ac:dyDescent="0.3">
      <c r="A171" s="2639" t="s">
        <v>33</v>
      </c>
      <c r="B171" s="1543" t="s">
        <v>25</v>
      </c>
      <c r="C171" s="2279" t="s">
        <v>31</v>
      </c>
      <c r="D171" s="1513" t="s">
        <v>291</v>
      </c>
      <c r="E171" s="2374" t="s">
        <v>19</v>
      </c>
      <c r="F171" s="2306" t="s">
        <v>20</v>
      </c>
      <c r="G171" s="2303" t="s">
        <v>495</v>
      </c>
      <c r="H171" s="2596" t="s">
        <v>22</v>
      </c>
      <c r="I171" s="309" t="s">
        <v>23</v>
      </c>
      <c r="J171" s="44">
        <v>5</v>
      </c>
      <c r="K171" s="310">
        <v>5</v>
      </c>
      <c r="L171" s="1114">
        <v>5</v>
      </c>
    </row>
    <row r="172" spans="1:12" ht="50.25" customHeight="1" x14ac:dyDescent="0.3">
      <c r="A172" s="2232"/>
      <c r="B172" s="1544"/>
      <c r="C172" s="2279"/>
      <c r="D172" s="2230"/>
      <c r="E172" s="2374"/>
      <c r="F172" s="2306"/>
      <c r="G172" s="2303"/>
      <c r="H172" s="2283"/>
      <c r="I172" s="700" t="s">
        <v>24</v>
      </c>
      <c r="J172" s="212">
        <f>SUM(J171)</f>
        <v>5</v>
      </c>
      <c r="K172" s="453">
        <f t="shared" ref="K172:L172" si="23">SUM(K171)</f>
        <v>5</v>
      </c>
      <c r="L172" s="478">
        <f t="shared" si="23"/>
        <v>5</v>
      </c>
    </row>
    <row r="173" spans="1:12" ht="23.25" customHeight="1" x14ac:dyDescent="0.3">
      <c r="A173" s="2233" t="s">
        <v>33</v>
      </c>
      <c r="B173" s="2235" t="s">
        <v>25</v>
      </c>
      <c r="C173" s="2041" t="s">
        <v>33</v>
      </c>
      <c r="D173" s="2289" t="s">
        <v>292</v>
      </c>
      <c r="E173" s="2045" t="s">
        <v>498</v>
      </c>
      <c r="F173" s="2239" t="s">
        <v>20</v>
      </c>
      <c r="G173" s="2241" t="s">
        <v>178</v>
      </c>
      <c r="H173" s="2049" t="s">
        <v>293</v>
      </c>
      <c r="I173" s="1235" t="s">
        <v>23</v>
      </c>
      <c r="J173" s="279">
        <v>0</v>
      </c>
      <c r="K173" s="279">
        <v>176.5</v>
      </c>
      <c r="L173" s="611">
        <v>176.5</v>
      </c>
    </row>
    <row r="174" spans="1:12" ht="22.5" customHeight="1" x14ac:dyDescent="0.3">
      <c r="A174" s="2277"/>
      <c r="B174" s="2278"/>
      <c r="C174" s="2279"/>
      <c r="D174" s="2230"/>
      <c r="E174" s="2374"/>
      <c r="F174" s="2306"/>
      <c r="G174" s="2303"/>
      <c r="H174" s="2283"/>
      <c r="I174" s="996" t="s">
        <v>180</v>
      </c>
      <c r="J174" s="568">
        <v>0</v>
      </c>
      <c r="K174" s="568">
        <v>500</v>
      </c>
      <c r="L174" s="613">
        <v>1000</v>
      </c>
    </row>
    <row r="175" spans="1:12" ht="22.5" customHeight="1" x14ac:dyDescent="0.3">
      <c r="A175" s="2234"/>
      <c r="B175" s="2236"/>
      <c r="C175" s="2279"/>
      <c r="D175" s="2230"/>
      <c r="E175" s="2374"/>
      <c r="F175" s="2306"/>
      <c r="G175" s="2242"/>
      <c r="H175" s="2283"/>
      <c r="I175" s="794" t="s">
        <v>24</v>
      </c>
      <c r="J175" s="29">
        <f>SUM(J173)</f>
        <v>0</v>
      </c>
      <c r="K175" s="477">
        <f>SUM(K173:K174)</f>
        <v>676.5</v>
      </c>
      <c r="L175" s="478">
        <f>L173+L174</f>
        <v>1176.5</v>
      </c>
    </row>
    <row r="176" spans="1:12" ht="24.75" customHeight="1" x14ac:dyDescent="0.3">
      <c r="A176" s="2231" t="s">
        <v>33</v>
      </c>
      <c r="B176" s="2039" t="s">
        <v>25</v>
      </c>
      <c r="C176" s="2041" t="s">
        <v>66</v>
      </c>
      <c r="D176" s="1990" t="s">
        <v>294</v>
      </c>
      <c r="E176" s="2597" t="s">
        <v>177</v>
      </c>
      <c r="F176" s="2300" t="s">
        <v>20</v>
      </c>
      <c r="G176" s="2241" t="s">
        <v>178</v>
      </c>
      <c r="H176" s="2049" t="s">
        <v>289</v>
      </c>
      <c r="I176" s="1235" t="s">
        <v>23</v>
      </c>
      <c r="J176" s="279">
        <f>40.4-40.4</f>
        <v>0</v>
      </c>
      <c r="K176" s="279">
        <v>0</v>
      </c>
      <c r="L176" s="611">
        <v>0</v>
      </c>
    </row>
    <row r="177" spans="1:12" ht="23.25" customHeight="1" thickBot="1" x14ac:dyDescent="0.35">
      <c r="A177" s="2232"/>
      <c r="B177" s="1544"/>
      <c r="C177" s="2279"/>
      <c r="D177" s="2442"/>
      <c r="E177" s="2598"/>
      <c r="F177" s="2301"/>
      <c r="G177" s="2303"/>
      <c r="H177" s="2283"/>
      <c r="I177" s="1399" t="s">
        <v>180</v>
      </c>
      <c r="J177" s="250">
        <v>0</v>
      </c>
      <c r="K177" s="250">
        <v>0</v>
      </c>
      <c r="L177" s="1145">
        <v>0</v>
      </c>
    </row>
    <row r="178" spans="1:12" ht="26.25" customHeight="1" thickBot="1" x14ac:dyDescent="0.35">
      <c r="A178" s="2232"/>
      <c r="B178" s="1544"/>
      <c r="C178" s="2279"/>
      <c r="D178" s="2442"/>
      <c r="E178" s="2374"/>
      <c r="F178" s="2302"/>
      <c r="G178" s="2242"/>
      <c r="H178" s="2283"/>
      <c r="I178" s="311" t="s">
        <v>24</v>
      </c>
      <c r="J178" s="789">
        <f>SUM(J176)</f>
        <v>0</v>
      </c>
      <c r="K178" s="789">
        <f t="shared" ref="K178:L178" si="24">SUM(K176)</f>
        <v>0</v>
      </c>
      <c r="L178" s="37">
        <f t="shared" si="24"/>
        <v>0</v>
      </c>
    </row>
    <row r="179" spans="1:12" ht="18" customHeight="1" x14ac:dyDescent="0.3">
      <c r="A179" s="2233" t="s">
        <v>33</v>
      </c>
      <c r="B179" s="2235" t="s">
        <v>25</v>
      </c>
      <c r="C179" s="2041" t="s">
        <v>72</v>
      </c>
      <c r="D179" s="1990" t="s">
        <v>295</v>
      </c>
      <c r="E179" s="2237" t="s">
        <v>177</v>
      </c>
      <c r="F179" s="2239" t="s">
        <v>20</v>
      </c>
      <c r="G179" s="2241" t="s">
        <v>178</v>
      </c>
      <c r="H179" s="2049" t="s">
        <v>296</v>
      </c>
      <c r="I179" s="787" t="s">
        <v>23</v>
      </c>
      <c r="J179" s="782">
        <f>100-58-42</f>
        <v>0</v>
      </c>
      <c r="K179" s="782">
        <v>1000</v>
      </c>
      <c r="L179" s="782">
        <v>1000</v>
      </c>
    </row>
    <row r="180" spans="1:12" ht="19.5" customHeight="1" x14ac:dyDescent="0.3">
      <c r="A180" s="2277"/>
      <c r="B180" s="2278"/>
      <c r="C180" s="2279"/>
      <c r="D180" s="2442"/>
      <c r="E180" s="2296"/>
      <c r="F180" s="2306"/>
      <c r="G180" s="2303"/>
      <c r="H180" s="2283"/>
      <c r="I180" s="1400" t="s">
        <v>180</v>
      </c>
      <c r="J180" s="1401">
        <v>425</v>
      </c>
      <c r="K180" s="1401">
        <v>1000</v>
      </c>
      <c r="L180" s="1401">
        <v>729.2</v>
      </c>
    </row>
    <row r="181" spans="1:12" ht="19.5" customHeight="1" thickBot="1" x14ac:dyDescent="0.35">
      <c r="A181" s="2277"/>
      <c r="B181" s="2278"/>
      <c r="C181" s="2279"/>
      <c r="D181" s="2442"/>
      <c r="E181" s="2296"/>
      <c r="F181" s="2306"/>
      <c r="G181" s="2303"/>
      <c r="H181" s="2283"/>
      <c r="I181" s="788" t="s">
        <v>87</v>
      </c>
      <c r="J181" s="258">
        <v>75</v>
      </c>
      <c r="K181" s="258">
        <v>0</v>
      </c>
      <c r="L181" s="258">
        <v>0</v>
      </c>
    </row>
    <row r="182" spans="1:12" ht="39.75" customHeight="1" thickBot="1" x14ac:dyDescent="0.35">
      <c r="A182" s="2234"/>
      <c r="B182" s="2236"/>
      <c r="C182" s="2042"/>
      <c r="D182" s="1991"/>
      <c r="E182" s="2238"/>
      <c r="F182" s="2240"/>
      <c r="G182" s="2242"/>
      <c r="H182" s="2050"/>
      <c r="I182" s="311" t="s">
        <v>24</v>
      </c>
      <c r="J182" s="789">
        <f>SUM(J179)+J180+J181</f>
        <v>500</v>
      </c>
      <c r="K182" s="790">
        <f>SUM(K179)+K180</f>
        <v>2000</v>
      </c>
      <c r="L182" s="791">
        <f>SUM(L179)+L180</f>
        <v>1729.2</v>
      </c>
    </row>
    <row r="183" spans="1:12" ht="29.25" customHeight="1" x14ac:dyDescent="0.3">
      <c r="A183" s="2233" t="s">
        <v>33</v>
      </c>
      <c r="B183" s="2235" t="s">
        <v>25</v>
      </c>
      <c r="C183" s="2041" t="s">
        <v>74</v>
      </c>
      <c r="D183" s="1990" t="s">
        <v>297</v>
      </c>
      <c r="E183" s="2237" t="s">
        <v>177</v>
      </c>
      <c r="F183" s="2239" t="s">
        <v>20</v>
      </c>
      <c r="G183" s="2241" t="s">
        <v>178</v>
      </c>
      <c r="H183" s="2049" t="s">
        <v>296</v>
      </c>
      <c r="I183" s="1382" t="s">
        <v>23</v>
      </c>
      <c r="J183" s="1383">
        <f>19.8-19.8</f>
        <v>0</v>
      </c>
      <c r="K183" s="1383">
        <v>0</v>
      </c>
      <c r="L183" s="1384">
        <v>0</v>
      </c>
    </row>
    <row r="184" spans="1:12" ht="29.25" customHeight="1" thickBot="1" x14ac:dyDescent="0.35">
      <c r="A184" s="2277"/>
      <c r="B184" s="2278"/>
      <c r="C184" s="2279"/>
      <c r="D184" s="2442"/>
      <c r="E184" s="2296"/>
      <c r="F184" s="2306"/>
      <c r="G184" s="2303"/>
      <c r="H184" s="2283"/>
      <c r="I184" s="1385" t="s">
        <v>227</v>
      </c>
      <c r="J184" s="1386">
        <v>56.2</v>
      </c>
      <c r="K184" s="1386">
        <v>100</v>
      </c>
      <c r="L184" s="1387">
        <v>46.6</v>
      </c>
    </row>
    <row r="185" spans="1:12" ht="32.25" customHeight="1" thickBot="1" x14ac:dyDescent="0.35">
      <c r="A185" s="2234"/>
      <c r="B185" s="2236"/>
      <c r="C185" s="2042"/>
      <c r="D185" s="1991"/>
      <c r="E185" s="2238"/>
      <c r="F185" s="2240"/>
      <c r="G185" s="2242"/>
      <c r="H185" s="2050"/>
      <c r="I185" s="1381" t="s">
        <v>24</v>
      </c>
      <c r="J185" s="29">
        <f>SUM(J183:J184)</f>
        <v>56.2</v>
      </c>
      <c r="K185" s="29">
        <f t="shared" ref="K185:L185" si="25">SUM(K183:K184)</f>
        <v>100</v>
      </c>
      <c r="L185" s="29">
        <f t="shared" si="25"/>
        <v>46.6</v>
      </c>
    </row>
    <row r="186" spans="1:12" ht="32.25" customHeight="1" x14ac:dyDescent="0.3">
      <c r="A186" s="2233" t="s">
        <v>33</v>
      </c>
      <c r="B186" s="2235" t="s">
        <v>25</v>
      </c>
      <c r="C186" s="2041" t="s">
        <v>78</v>
      </c>
      <c r="D186" s="1990" t="s">
        <v>298</v>
      </c>
      <c r="E186" s="2237" t="s">
        <v>177</v>
      </c>
      <c r="F186" s="2239" t="s">
        <v>20</v>
      </c>
      <c r="G186" s="2241" t="s">
        <v>178</v>
      </c>
      <c r="H186" s="2049" t="s">
        <v>296</v>
      </c>
      <c r="I186" s="1382" t="s">
        <v>23</v>
      </c>
      <c r="J186" s="1383">
        <v>0</v>
      </c>
      <c r="K186" s="1383">
        <v>0</v>
      </c>
      <c r="L186" s="1384">
        <v>0</v>
      </c>
    </row>
    <row r="187" spans="1:12" ht="32.25" customHeight="1" thickBot="1" x14ac:dyDescent="0.35">
      <c r="A187" s="2277"/>
      <c r="B187" s="2278"/>
      <c r="C187" s="2279"/>
      <c r="D187" s="2442"/>
      <c r="E187" s="2296"/>
      <c r="F187" s="2306"/>
      <c r="G187" s="2303"/>
      <c r="H187" s="2283"/>
      <c r="I187" s="1385" t="s">
        <v>227</v>
      </c>
      <c r="J187" s="1386">
        <f>94.2</f>
        <v>94.2</v>
      </c>
      <c r="K187" s="1386">
        <v>81.2</v>
      </c>
      <c r="L187" s="1387">
        <v>81.2</v>
      </c>
    </row>
    <row r="188" spans="1:12" ht="32.25" customHeight="1" thickBot="1" x14ac:dyDescent="0.35">
      <c r="A188" s="2234"/>
      <c r="B188" s="2236"/>
      <c r="C188" s="2042"/>
      <c r="D188" s="1991"/>
      <c r="E188" s="2238"/>
      <c r="F188" s="2240"/>
      <c r="G188" s="2242"/>
      <c r="H188" s="2050"/>
      <c r="I188" s="1236" t="s">
        <v>24</v>
      </c>
      <c r="J188" s="1237">
        <f>SUM(J186:J187)</f>
        <v>94.2</v>
      </c>
      <c r="K188" s="1238">
        <f t="shared" ref="K188:L188" si="26">SUM(K186)</f>
        <v>0</v>
      </c>
      <c r="L188" s="1239">
        <f t="shared" si="26"/>
        <v>0</v>
      </c>
    </row>
    <row r="189" spans="1:12" ht="42.75" customHeight="1" thickBot="1" x14ac:dyDescent="0.35">
      <c r="A189" s="2233" t="s">
        <v>33</v>
      </c>
      <c r="B189" s="2235" t="s">
        <v>25</v>
      </c>
      <c r="C189" s="2041" t="s">
        <v>103</v>
      </c>
      <c r="D189" s="1990" t="s">
        <v>499</v>
      </c>
      <c r="E189" s="2237" t="s">
        <v>177</v>
      </c>
      <c r="F189" s="2239" t="s">
        <v>20</v>
      </c>
      <c r="G189" s="2241" t="s">
        <v>178</v>
      </c>
      <c r="H189" s="2243" t="s">
        <v>296</v>
      </c>
      <c r="I189" s="309" t="s">
        <v>23</v>
      </c>
      <c r="J189" s="44">
        <v>0</v>
      </c>
      <c r="K189" s="310">
        <v>0</v>
      </c>
      <c r="L189" s="242">
        <v>0</v>
      </c>
    </row>
    <row r="190" spans="1:12" ht="46.5" customHeight="1" thickBot="1" x14ac:dyDescent="0.35">
      <c r="A190" s="2234"/>
      <c r="B190" s="2236"/>
      <c r="C190" s="2042"/>
      <c r="D190" s="1991"/>
      <c r="E190" s="2238"/>
      <c r="F190" s="2240"/>
      <c r="G190" s="2242"/>
      <c r="H190" s="2050"/>
      <c r="I190" s="311" t="s">
        <v>24</v>
      </c>
      <c r="J190" s="789">
        <f>SUM(J189)</f>
        <v>0</v>
      </c>
      <c r="K190" s="790">
        <f t="shared" ref="K190:L190" si="27">SUM(K189)</f>
        <v>0</v>
      </c>
      <c r="L190" s="791">
        <f t="shared" si="27"/>
        <v>0</v>
      </c>
    </row>
    <row r="191" spans="1:12" ht="15" thickBot="1" x14ac:dyDescent="0.35">
      <c r="A191" s="62" t="s">
        <v>33</v>
      </c>
      <c r="B191" s="77" t="s">
        <v>25</v>
      </c>
      <c r="C191" s="2280" t="s">
        <v>80</v>
      </c>
      <c r="D191" s="2281"/>
      <c r="E191" s="2281"/>
      <c r="F191" s="2281"/>
      <c r="G191" s="2281"/>
      <c r="H191" s="2281"/>
      <c r="I191" s="2282"/>
      <c r="J191" s="312">
        <f>J166+J168+J170+J171+J175+J178+J182+J185+J188</f>
        <v>1049.2</v>
      </c>
      <c r="K191" s="312">
        <f>K166+K168+K170+K172+K175+K178+K182</f>
        <v>3035.2</v>
      </c>
      <c r="L191" s="313">
        <f>L166+L168+L170+L172+L175+L178+L182</f>
        <v>3264.4</v>
      </c>
    </row>
    <row r="192" spans="1:12" x14ac:dyDescent="0.3">
      <c r="A192" s="63" t="s">
        <v>33</v>
      </c>
      <c r="B192" s="63"/>
      <c r="C192" s="64"/>
      <c r="D192" s="64"/>
      <c r="E192" s="64"/>
      <c r="F192" s="64"/>
      <c r="G192" s="64"/>
      <c r="H192" s="64"/>
      <c r="I192" s="177" t="s">
        <v>83</v>
      </c>
      <c r="J192" s="178">
        <f>J163+J191</f>
        <v>1491.3000000000002</v>
      </c>
      <c r="K192" s="178">
        <f>K163+K191</f>
        <v>3451.6</v>
      </c>
      <c r="L192" s="178">
        <f>L163+L191</f>
        <v>3687.6</v>
      </c>
    </row>
    <row r="193" spans="1:17" ht="15" thickBot="1" x14ac:dyDescent="0.35">
      <c r="A193" s="87" t="s">
        <v>66</v>
      </c>
      <c r="B193" s="2297" t="s">
        <v>299</v>
      </c>
      <c r="C193" s="2298"/>
      <c r="D193" s="2298"/>
      <c r="E193" s="2298"/>
      <c r="F193" s="2298"/>
      <c r="G193" s="2298"/>
      <c r="H193" s="2298"/>
      <c r="I193" s="2298"/>
      <c r="J193" s="2298"/>
      <c r="K193" s="2298"/>
      <c r="L193" s="2299"/>
    </row>
    <row r="194" spans="1:17" ht="15.75" customHeight="1" thickBot="1" x14ac:dyDescent="0.35">
      <c r="A194" s="181" t="s">
        <v>66</v>
      </c>
      <c r="B194" s="77" t="s">
        <v>15</v>
      </c>
      <c r="C194" s="206" t="s">
        <v>300</v>
      </c>
      <c r="D194" s="207"/>
      <c r="E194" s="207"/>
      <c r="F194" s="207"/>
      <c r="G194" s="207"/>
      <c r="H194" s="207"/>
      <c r="I194" s="207"/>
      <c r="J194" s="207"/>
      <c r="K194" s="207"/>
      <c r="L194" s="1325"/>
    </row>
    <row r="195" spans="1:17" ht="26.25" customHeight="1" thickBot="1" x14ac:dyDescent="0.35">
      <c r="A195" s="2229" t="s">
        <v>66</v>
      </c>
      <c r="B195" s="1590" t="s">
        <v>15</v>
      </c>
      <c r="C195" s="2288" t="s">
        <v>15</v>
      </c>
      <c r="D195" s="2057" t="s">
        <v>301</v>
      </c>
      <c r="E195" s="1997" t="s">
        <v>19</v>
      </c>
      <c r="F195" s="2294" t="s">
        <v>20</v>
      </c>
      <c r="G195" s="1999" t="s">
        <v>116</v>
      </c>
      <c r="H195" s="2292" t="s">
        <v>302</v>
      </c>
      <c r="I195" s="1333" t="s">
        <v>23</v>
      </c>
      <c r="J195" s="1327">
        <f>40-36</f>
        <v>4</v>
      </c>
      <c r="K195" s="1327">
        <v>0</v>
      </c>
      <c r="L195" s="1327">
        <v>0</v>
      </c>
      <c r="N195" s="702"/>
      <c r="O195" s="1326"/>
      <c r="P195" s="1326"/>
      <c r="Q195" s="1326"/>
    </row>
    <row r="196" spans="1:17" ht="25.5" customHeight="1" thickBot="1" x14ac:dyDescent="0.35">
      <c r="A196" s="1589"/>
      <c r="B196" s="1591"/>
      <c r="C196" s="2288"/>
      <c r="D196" s="2057"/>
      <c r="E196" s="1997"/>
      <c r="F196" s="2294"/>
      <c r="G196" s="1999"/>
      <c r="H196" s="2292"/>
      <c r="I196" s="1333" t="s">
        <v>87</v>
      </c>
      <c r="J196" s="1335">
        <f>73.4+3.3-10.3+5-20.8+6.2</f>
        <v>56.800000000000011</v>
      </c>
      <c r="K196" s="1335">
        <v>73.400000000000006</v>
      </c>
      <c r="L196" s="1327">
        <v>73.400000000000006</v>
      </c>
    </row>
    <row r="197" spans="1:17" ht="21" customHeight="1" thickBot="1" x14ac:dyDescent="0.35">
      <c r="A197" s="1589"/>
      <c r="B197" s="1591"/>
      <c r="C197" s="2288"/>
      <c r="D197" s="2057"/>
      <c r="E197" s="1997"/>
      <c r="F197" s="2294"/>
      <c r="G197" s="1999"/>
      <c r="H197" s="2292"/>
      <c r="I197" s="1334" t="s">
        <v>30</v>
      </c>
      <c r="J197" s="426">
        <v>21.4</v>
      </c>
      <c r="K197" s="310">
        <v>0</v>
      </c>
      <c r="L197" s="1328">
        <v>0</v>
      </c>
    </row>
    <row r="198" spans="1:17" ht="23.25" customHeight="1" x14ac:dyDescent="0.3">
      <c r="A198" s="1589"/>
      <c r="B198" s="1591"/>
      <c r="C198" s="2288"/>
      <c r="D198" s="2057"/>
      <c r="E198" s="1997"/>
      <c r="F198" s="2295"/>
      <c r="G198" s="1999"/>
      <c r="H198" s="1995"/>
      <c r="I198" s="211" t="s">
        <v>24</v>
      </c>
      <c r="J198" s="275">
        <f>SUM(J195:J197)</f>
        <v>82.200000000000017</v>
      </c>
      <c r="K198" s="275">
        <f t="shared" ref="K198:L198" si="28">SUM(K195:K197)</f>
        <v>73.400000000000006</v>
      </c>
      <c r="L198" s="30">
        <f t="shared" si="28"/>
        <v>73.400000000000006</v>
      </c>
    </row>
    <row r="199" spans="1:17" ht="14.25" customHeight="1" x14ac:dyDescent="0.3">
      <c r="A199" s="2443" t="s">
        <v>66</v>
      </c>
      <c r="B199" s="2235" t="s">
        <v>15</v>
      </c>
      <c r="C199" s="2430" t="s">
        <v>25</v>
      </c>
      <c r="D199" s="2432" t="s">
        <v>303</v>
      </c>
      <c r="E199" s="2045" t="s">
        <v>19</v>
      </c>
      <c r="F199" s="1612" t="s">
        <v>129</v>
      </c>
      <c r="G199" s="1606" t="s">
        <v>130</v>
      </c>
      <c r="H199" s="2049" t="s">
        <v>302</v>
      </c>
      <c r="I199" s="1093" t="s">
        <v>23</v>
      </c>
      <c r="J199" s="1250">
        <v>0</v>
      </c>
      <c r="K199" s="1250">
        <v>0</v>
      </c>
      <c r="L199" s="1240">
        <v>0</v>
      </c>
    </row>
    <row r="200" spans="1:17" ht="14.25" customHeight="1" x14ac:dyDescent="0.3">
      <c r="A200" s="2510"/>
      <c r="B200" s="2278"/>
      <c r="C200" s="2431"/>
      <c r="D200" s="2433"/>
      <c r="E200" s="2374"/>
      <c r="F200" s="1671"/>
      <c r="G200" s="1607"/>
      <c r="H200" s="2283"/>
      <c r="I200" s="1008" t="s">
        <v>54</v>
      </c>
      <c r="J200" s="1251">
        <v>52</v>
      </c>
      <c r="K200" s="1251">
        <v>52</v>
      </c>
      <c r="L200" s="1241">
        <v>52</v>
      </c>
    </row>
    <row r="201" spans="1:17" ht="14.25" customHeight="1" x14ac:dyDescent="0.3">
      <c r="A201" s="2510"/>
      <c r="B201" s="2278"/>
      <c r="C201" s="2431"/>
      <c r="D201" s="2433"/>
      <c r="E201" s="2374"/>
      <c r="F201" s="1613"/>
      <c r="G201" s="1607"/>
      <c r="H201" s="2283"/>
      <c r="I201" s="1246" t="s">
        <v>30</v>
      </c>
      <c r="J201" s="1252">
        <v>2.9</v>
      </c>
      <c r="K201" s="1252">
        <v>0</v>
      </c>
      <c r="L201" s="1242">
        <v>0</v>
      </c>
    </row>
    <row r="202" spans="1:17" ht="13.5" customHeight="1" x14ac:dyDescent="0.3">
      <c r="A202" s="2510"/>
      <c r="B202" s="2278"/>
      <c r="C202" s="2431"/>
      <c r="D202" s="2433"/>
      <c r="E202" s="2374"/>
      <c r="F202" s="1612" t="s">
        <v>131</v>
      </c>
      <c r="G202" s="1607"/>
      <c r="H202" s="2283"/>
      <c r="I202" s="1009" t="s">
        <v>23</v>
      </c>
      <c r="J202" s="764">
        <f>54-40.5-2-1.6-0.36</f>
        <v>9.5400000000000009</v>
      </c>
      <c r="K202" s="764">
        <v>54</v>
      </c>
      <c r="L202" s="1243">
        <v>54</v>
      </c>
    </row>
    <row r="203" spans="1:17" ht="12" customHeight="1" x14ac:dyDescent="0.3">
      <c r="A203" s="2510"/>
      <c r="B203" s="2278"/>
      <c r="C203" s="2431"/>
      <c r="D203" s="2433"/>
      <c r="E203" s="2374"/>
      <c r="F203" s="1671"/>
      <c r="G203" s="1607"/>
      <c r="H203" s="2283"/>
      <c r="I203" s="1009" t="s">
        <v>54</v>
      </c>
      <c r="J203" s="764">
        <v>1.5</v>
      </c>
      <c r="K203" s="764">
        <v>1.5</v>
      </c>
      <c r="L203" s="1243">
        <v>1.5</v>
      </c>
    </row>
    <row r="204" spans="1:17" ht="14.25" customHeight="1" x14ac:dyDescent="0.3">
      <c r="A204" s="2510"/>
      <c r="B204" s="2278"/>
      <c r="C204" s="2431"/>
      <c r="D204" s="2433"/>
      <c r="E204" s="2374"/>
      <c r="F204" s="1613"/>
      <c r="G204" s="1607"/>
      <c r="H204" s="2283"/>
      <c r="I204" s="1247" t="s">
        <v>30</v>
      </c>
      <c r="J204" s="766">
        <v>0.5</v>
      </c>
      <c r="K204" s="766">
        <v>0</v>
      </c>
      <c r="L204" s="954">
        <v>0</v>
      </c>
    </row>
    <row r="205" spans="1:17" x14ac:dyDescent="0.3">
      <c r="A205" s="2510"/>
      <c r="B205" s="2278"/>
      <c r="C205" s="2431"/>
      <c r="D205" s="2433"/>
      <c r="E205" s="2374"/>
      <c r="F205" s="1612" t="s">
        <v>132</v>
      </c>
      <c r="G205" s="1607"/>
      <c r="H205" s="2283"/>
      <c r="I205" s="1248" t="s">
        <v>23</v>
      </c>
      <c r="J205" s="640">
        <f>6-2.9</f>
        <v>3.1</v>
      </c>
      <c r="K205" s="640">
        <v>6</v>
      </c>
      <c r="L205" s="951">
        <v>6</v>
      </c>
    </row>
    <row r="206" spans="1:17" x14ac:dyDescent="0.3">
      <c r="A206" s="2510"/>
      <c r="B206" s="2278"/>
      <c r="C206" s="2431"/>
      <c r="D206" s="2433"/>
      <c r="E206" s="2374"/>
      <c r="F206" s="1671"/>
      <c r="G206" s="1607"/>
      <c r="H206" s="2283"/>
      <c r="I206" s="1010" t="s">
        <v>54</v>
      </c>
      <c r="J206" s="768">
        <v>1.5</v>
      </c>
      <c r="K206" s="768">
        <v>1.5</v>
      </c>
      <c r="L206" s="955">
        <v>1.5</v>
      </c>
    </row>
    <row r="207" spans="1:17" x14ac:dyDescent="0.3">
      <c r="A207" s="2510"/>
      <c r="B207" s="2278"/>
      <c r="C207" s="2431"/>
      <c r="D207" s="2433"/>
      <c r="E207" s="2374"/>
      <c r="F207" s="1613"/>
      <c r="G207" s="1607"/>
      <c r="H207" s="2283"/>
      <c r="I207" s="1247" t="s">
        <v>30</v>
      </c>
      <c r="J207" s="766">
        <v>4</v>
      </c>
      <c r="K207" s="766">
        <v>0</v>
      </c>
      <c r="L207" s="954">
        <v>0</v>
      </c>
    </row>
    <row r="208" spans="1:17" x14ac:dyDescent="0.3">
      <c r="A208" s="2510"/>
      <c r="B208" s="2278"/>
      <c r="C208" s="2431"/>
      <c r="D208" s="2433"/>
      <c r="E208" s="2374"/>
      <c r="F208" s="1612" t="s">
        <v>134</v>
      </c>
      <c r="G208" s="1607"/>
      <c r="H208" s="2283"/>
      <c r="I208" s="1248" t="s">
        <v>23</v>
      </c>
      <c r="J208" s="640">
        <v>0.7</v>
      </c>
      <c r="K208" s="640">
        <v>0.7</v>
      </c>
      <c r="L208" s="951">
        <v>0.7</v>
      </c>
    </row>
    <row r="209" spans="1:12" x14ac:dyDescent="0.3">
      <c r="A209" s="2510"/>
      <c r="B209" s="2278"/>
      <c r="C209" s="2431"/>
      <c r="D209" s="2433"/>
      <c r="E209" s="2374"/>
      <c r="F209" s="1671"/>
      <c r="G209" s="1607"/>
      <c r="H209" s="2283"/>
      <c r="I209" s="1010" t="s">
        <v>54</v>
      </c>
      <c r="J209" s="768">
        <f>2-1</f>
        <v>1</v>
      </c>
      <c r="K209" s="768">
        <v>2</v>
      </c>
      <c r="L209" s="955">
        <v>2</v>
      </c>
    </row>
    <row r="210" spans="1:12" x14ac:dyDescent="0.3">
      <c r="A210" s="2510"/>
      <c r="B210" s="2278"/>
      <c r="C210" s="2431"/>
      <c r="D210" s="2433"/>
      <c r="E210" s="2374"/>
      <c r="F210" s="1671"/>
      <c r="G210" s="1607"/>
      <c r="H210" s="2283"/>
      <c r="I210" s="1247" t="s">
        <v>30</v>
      </c>
      <c r="J210" s="766">
        <v>1.2</v>
      </c>
      <c r="K210" s="766">
        <v>0</v>
      </c>
      <c r="L210" s="954">
        <v>0</v>
      </c>
    </row>
    <row r="211" spans="1:12" x14ac:dyDescent="0.3">
      <c r="A211" s="2510"/>
      <c r="B211" s="2278"/>
      <c r="C211" s="2431"/>
      <c r="D211" s="2433"/>
      <c r="E211" s="2374"/>
      <c r="F211" s="2422" t="s">
        <v>136</v>
      </c>
      <c r="G211" s="2421"/>
      <c r="H211" s="2283"/>
      <c r="I211" s="642" t="s">
        <v>23</v>
      </c>
      <c r="J211" s="640">
        <v>12.6</v>
      </c>
      <c r="K211" s="640">
        <v>12.6</v>
      </c>
      <c r="L211" s="951">
        <v>12.6</v>
      </c>
    </row>
    <row r="212" spans="1:12" x14ac:dyDescent="0.3">
      <c r="A212" s="2510"/>
      <c r="B212" s="2278"/>
      <c r="C212" s="2431"/>
      <c r="D212" s="2433"/>
      <c r="E212" s="2374"/>
      <c r="F212" s="2423"/>
      <c r="G212" s="2421"/>
      <c r="H212" s="2283"/>
      <c r="I212" s="581" t="s">
        <v>54</v>
      </c>
      <c r="J212" s="766">
        <f>1+1</f>
        <v>2</v>
      </c>
      <c r="K212" s="766">
        <v>1</v>
      </c>
      <c r="L212" s="954">
        <v>1</v>
      </c>
    </row>
    <row r="213" spans="1:12" x14ac:dyDescent="0.3">
      <c r="A213" s="2510"/>
      <c r="B213" s="2278"/>
      <c r="C213" s="2431"/>
      <c r="D213" s="2433"/>
      <c r="E213" s="2374"/>
      <c r="F213" s="2423"/>
      <c r="G213" s="2421"/>
      <c r="H213" s="2283"/>
      <c r="I213" s="581" t="s">
        <v>30</v>
      </c>
      <c r="J213" s="766">
        <v>0.4</v>
      </c>
      <c r="K213" s="766">
        <v>0</v>
      </c>
      <c r="L213" s="954">
        <v>0</v>
      </c>
    </row>
    <row r="214" spans="1:12" x14ac:dyDescent="0.3">
      <c r="A214" s="2510"/>
      <c r="B214" s="2278"/>
      <c r="C214" s="2431"/>
      <c r="D214" s="2433"/>
      <c r="E214" s="2374"/>
      <c r="F214" s="2422" t="s">
        <v>138</v>
      </c>
      <c r="G214" s="2421"/>
      <c r="H214" s="2283"/>
      <c r="I214" s="642" t="s">
        <v>23</v>
      </c>
      <c r="J214" s="640">
        <f>30.8+0.3</f>
        <v>31.1</v>
      </c>
      <c r="K214" s="640">
        <v>30.8</v>
      </c>
      <c r="L214" s="951">
        <v>30.8</v>
      </c>
    </row>
    <row r="215" spans="1:12" x14ac:dyDescent="0.3">
      <c r="A215" s="2510"/>
      <c r="B215" s="2278"/>
      <c r="C215" s="2431"/>
      <c r="D215" s="2433"/>
      <c r="E215" s="2374"/>
      <c r="F215" s="2423"/>
      <c r="G215" s="2421"/>
      <c r="H215" s="2283"/>
      <c r="I215" s="956" t="s">
        <v>54</v>
      </c>
      <c r="J215" s="768">
        <v>1</v>
      </c>
      <c r="K215" s="768">
        <v>1</v>
      </c>
      <c r="L215" s="955">
        <v>1</v>
      </c>
    </row>
    <row r="216" spans="1:12" x14ac:dyDescent="0.3">
      <c r="A216" s="2510"/>
      <c r="B216" s="2278"/>
      <c r="C216" s="2431"/>
      <c r="D216" s="2433"/>
      <c r="E216" s="2374"/>
      <c r="F216" s="2426"/>
      <c r="G216" s="2421"/>
      <c r="H216" s="2283"/>
      <c r="I216" s="941" t="s">
        <v>30</v>
      </c>
      <c r="J216" s="952">
        <v>1.4</v>
      </c>
      <c r="K216" s="952">
        <v>0</v>
      </c>
      <c r="L216" s="953">
        <v>0</v>
      </c>
    </row>
    <row r="217" spans="1:12" ht="17.25" customHeight="1" x14ac:dyDescent="0.3">
      <c r="A217" s="2510"/>
      <c r="B217" s="2278"/>
      <c r="C217" s="2431"/>
      <c r="D217" s="2433"/>
      <c r="E217" s="2296"/>
      <c r="F217" s="2386" t="s">
        <v>139</v>
      </c>
      <c r="G217" s="1607"/>
      <c r="H217" s="2283"/>
      <c r="I217" s="1009" t="s">
        <v>54</v>
      </c>
      <c r="J217" s="764">
        <v>4</v>
      </c>
      <c r="K217" s="764">
        <v>4</v>
      </c>
      <c r="L217" s="1243">
        <v>4</v>
      </c>
    </row>
    <row r="218" spans="1:12" ht="15.75" customHeight="1" x14ac:dyDescent="0.3">
      <c r="A218" s="2510"/>
      <c r="B218" s="2278"/>
      <c r="C218" s="2431"/>
      <c r="D218" s="2433"/>
      <c r="E218" s="2296"/>
      <c r="F218" s="2386"/>
      <c r="G218" s="1607"/>
      <c r="H218" s="2283"/>
      <c r="I218" s="1011" t="s">
        <v>30</v>
      </c>
      <c r="J218" s="775">
        <v>0.7</v>
      </c>
      <c r="K218" s="775">
        <v>0</v>
      </c>
      <c r="L218" s="1244">
        <v>0</v>
      </c>
    </row>
    <row r="219" spans="1:12" ht="15.75" customHeight="1" x14ac:dyDescent="0.3">
      <c r="A219" s="2510"/>
      <c r="B219" s="2278"/>
      <c r="C219" s="2431"/>
      <c r="D219" s="2433"/>
      <c r="E219" s="2374"/>
      <c r="F219" s="2422" t="s">
        <v>140</v>
      </c>
      <c r="G219" s="2421"/>
      <c r="H219" s="2283"/>
      <c r="I219" s="1007" t="s">
        <v>23</v>
      </c>
      <c r="J219" s="1253">
        <f>25.6+13</f>
        <v>38.6</v>
      </c>
      <c r="K219" s="1253">
        <v>25.6</v>
      </c>
      <c r="L219" s="1245">
        <v>25.6</v>
      </c>
    </row>
    <row r="220" spans="1:12" x14ac:dyDescent="0.3">
      <c r="A220" s="2510"/>
      <c r="B220" s="2278"/>
      <c r="C220" s="2431"/>
      <c r="D220" s="2433"/>
      <c r="E220" s="2374"/>
      <c r="F220" s="2423"/>
      <c r="G220" s="2421"/>
      <c r="H220" s="2283"/>
      <c r="I220" s="1009" t="s">
        <v>54</v>
      </c>
      <c r="J220" s="764">
        <v>12.5</v>
      </c>
      <c r="K220" s="764">
        <v>12.5</v>
      </c>
      <c r="L220" s="1243">
        <v>12.5</v>
      </c>
    </row>
    <row r="221" spans="1:12" ht="15" thickBot="1" x14ac:dyDescent="0.35">
      <c r="A221" s="2510"/>
      <c r="B221" s="2278"/>
      <c r="C221" s="2431"/>
      <c r="D221" s="2433"/>
      <c r="E221" s="2374"/>
      <c r="F221" s="2423"/>
      <c r="G221" s="2421"/>
      <c r="H221" s="2283"/>
      <c r="I221" s="1246" t="s">
        <v>30</v>
      </c>
      <c r="J221" s="775">
        <v>5.7</v>
      </c>
      <c r="K221" s="775">
        <v>0</v>
      </c>
      <c r="L221" s="1244">
        <v>0</v>
      </c>
    </row>
    <row r="222" spans="1:12" ht="15" thickBot="1" x14ac:dyDescent="0.35">
      <c r="A222" s="2510"/>
      <c r="B222" s="2278"/>
      <c r="C222" s="2431"/>
      <c r="D222" s="2433"/>
      <c r="E222" s="2374"/>
      <c r="F222" s="2423"/>
      <c r="G222" s="2421"/>
      <c r="H222" s="2283"/>
      <c r="I222" s="1249" t="s">
        <v>24</v>
      </c>
      <c r="J222" s="699">
        <f>SUM(J199:J221)</f>
        <v>187.93999999999997</v>
      </c>
      <c r="K222" s="699">
        <f>SUM(K199:K221)</f>
        <v>205.20000000000002</v>
      </c>
      <c r="L222" s="1164">
        <f>SUM(L199:L221)</f>
        <v>205.20000000000002</v>
      </c>
    </row>
    <row r="223" spans="1:12" ht="41.25" customHeight="1" thickBot="1" x14ac:dyDescent="0.35">
      <c r="A223" s="2099" t="s">
        <v>66</v>
      </c>
      <c r="B223" s="2235" t="s">
        <v>15</v>
      </c>
      <c r="C223" s="2041" t="s">
        <v>27</v>
      </c>
      <c r="D223" s="2289" t="s">
        <v>304</v>
      </c>
      <c r="E223" s="2045" t="s">
        <v>498</v>
      </c>
      <c r="F223" s="2412" t="s">
        <v>20</v>
      </c>
      <c r="G223" s="2418" t="s">
        <v>178</v>
      </c>
      <c r="H223" s="2049" t="s">
        <v>260</v>
      </c>
      <c r="I223" s="1445" t="s">
        <v>23</v>
      </c>
      <c r="J223" s="1442">
        <v>38.6</v>
      </c>
      <c r="K223" s="1443">
        <v>0</v>
      </c>
      <c r="L223" s="1444">
        <v>0</v>
      </c>
    </row>
    <row r="224" spans="1:12" ht="18.75" customHeight="1" thickBot="1" x14ac:dyDescent="0.35">
      <c r="A224" s="2100"/>
      <c r="B224" s="2278"/>
      <c r="C224" s="2279"/>
      <c r="D224" s="2230"/>
      <c r="E224" s="2374"/>
      <c r="F224" s="2165"/>
      <c r="G224" s="2419"/>
      <c r="H224" s="2283"/>
      <c r="I224" s="1445" t="s">
        <v>30</v>
      </c>
      <c r="J224" s="1442">
        <v>74</v>
      </c>
      <c r="K224" s="1443">
        <v>0</v>
      </c>
      <c r="L224" s="1444">
        <v>0</v>
      </c>
    </row>
    <row r="225" spans="1:15" ht="21.75" customHeight="1" thickBot="1" x14ac:dyDescent="0.35">
      <c r="A225" s="2621"/>
      <c r="B225" s="2236"/>
      <c r="C225" s="2042"/>
      <c r="D225" s="2641"/>
      <c r="E225" s="2046"/>
      <c r="F225" s="2413"/>
      <c r="G225" s="2420"/>
      <c r="H225" s="2050"/>
      <c r="I225" s="635" t="s">
        <v>24</v>
      </c>
      <c r="J225" s="546">
        <f>J223+J224</f>
        <v>112.6</v>
      </c>
      <c r="K225" s="546">
        <f t="shared" ref="K225:L225" si="29">SUM(K223)</f>
        <v>0</v>
      </c>
      <c r="L225" s="281">
        <f t="shared" si="29"/>
        <v>0</v>
      </c>
    </row>
    <row r="226" spans="1:15" ht="19.5" customHeight="1" x14ac:dyDescent="0.3">
      <c r="A226" s="2510" t="s">
        <v>66</v>
      </c>
      <c r="B226" s="2278" t="s">
        <v>15</v>
      </c>
      <c r="C226" s="2279" t="s">
        <v>31</v>
      </c>
      <c r="D226" s="2230" t="s">
        <v>305</v>
      </c>
      <c r="E226" s="2296" t="s">
        <v>498</v>
      </c>
      <c r="F226" s="2165" t="s">
        <v>20</v>
      </c>
      <c r="G226" s="2642" t="s">
        <v>116</v>
      </c>
      <c r="H226" s="2139" t="s">
        <v>302</v>
      </c>
      <c r="I226" s="1329" t="s">
        <v>23</v>
      </c>
      <c r="J226" s="1330">
        <v>0</v>
      </c>
      <c r="K226" s="1331">
        <v>0</v>
      </c>
      <c r="L226" s="1332">
        <v>0</v>
      </c>
    </row>
    <row r="227" spans="1:15" ht="21" customHeight="1" x14ac:dyDescent="0.3">
      <c r="A227" s="2510"/>
      <c r="B227" s="2278"/>
      <c r="C227" s="2279"/>
      <c r="D227" s="2230"/>
      <c r="E227" s="2296"/>
      <c r="F227" s="2165"/>
      <c r="G227" s="2642"/>
      <c r="H227" s="2139"/>
      <c r="I227" s="902" t="s">
        <v>30</v>
      </c>
      <c r="J227" s="577">
        <v>0</v>
      </c>
      <c r="K227" s="399">
        <v>0</v>
      </c>
      <c r="L227" s="400">
        <v>0</v>
      </c>
    </row>
    <row r="228" spans="1:15" ht="21" customHeight="1" thickBot="1" x14ac:dyDescent="0.35">
      <c r="A228" s="2444"/>
      <c r="B228" s="2236"/>
      <c r="C228" s="2042"/>
      <c r="D228" s="2641"/>
      <c r="E228" s="2238"/>
      <c r="F228" s="2413"/>
      <c r="G228" s="2643"/>
      <c r="H228" s="1989"/>
      <c r="I228" s="635" t="s">
        <v>24</v>
      </c>
      <c r="J228" s="36">
        <f>SUM(J226:J227)</f>
        <v>0</v>
      </c>
      <c r="K228" s="36">
        <f t="shared" ref="K228:L228" si="30">SUM(K226:K227)</f>
        <v>0</v>
      </c>
      <c r="L228" s="283">
        <f t="shared" si="30"/>
        <v>0</v>
      </c>
    </row>
    <row r="229" spans="1:15" ht="18" customHeight="1" thickBot="1" x14ac:dyDescent="0.35">
      <c r="A229" s="62" t="s">
        <v>66</v>
      </c>
      <c r="B229" s="79" t="s">
        <v>15</v>
      </c>
      <c r="C229" s="2416" t="s">
        <v>80</v>
      </c>
      <c r="D229" s="2281"/>
      <c r="E229" s="2281"/>
      <c r="F229" s="2281"/>
      <c r="G229" s="2281"/>
      <c r="H229" s="2281"/>
      <c r="I229" s="2417"/>
      <c r="J229" s="306">
        <f>J198+J222+J225+J228</f>
        <v>382.74</v>
      </c>
      <c r="K229" s="306">
        <f>K198+K222+K225+K228</f>
        <v>278.60000000000002</v>
      </c>
      <c r="L229" s="97">
        <f>L198+L222+L225+L228</f>
        <v>278.60000000000002</v>
      </c>
    </row>
    <row r="230" spans="1:15" ht="18" customHeight="1" thickBot="1" x14ac:dyDescent="0.35">
      <c r="A230" s="63" t="s">
        <v>66</v>
      </c>
      <c r="B230" s="63"/>
      <c r="C230" s="64"/>
      <c r="D230" s="64"/>
      <c r="E230" s="64"/>
      <c r="F230" s="64"/>
      <c r="G230" s="64"/>
      <c r="H230" s="64"/>
      <c r="I230" s="177" t="s">
        <v>83</v>
      </c>
      <c r="J230" s="178">
        <f>J198+J222+J225+J228</f>
        <v>382.74</v>
      </c>
      <c r="K230" s="178">
        <f>K198+K222+K225+K228</f>
        <v>278.60000000000002</v>
      </c>
      <c r="L230" s="178">
        <f>L198+L222+L225+L228</f>
        <v>278.60000000000002</v>
      </c>
    </row>
    <row r="231" spans="1:15" ht="12.75" customHeight="1" thickBot="1" x14ac:dyDescent="0.35">
      <c r="A231" s="63" t="s">
        <v>72</v>
      </c>
      <c r="B231" s="2427" t="s">
        <v>306</v>
      </c>
      <c r="C231" s="2428"/>
      <c r="D231" s="2428"/>
      <c r="E231" s="2428"/>
      <c r="F231" s="2428"/>
      <c r="G231" s="2428"/>
      <c r="H231" s="2428"/>
      <c r="I231" s="2428"/>
      <c r="J231" s="2428"/>
      <c r="K231" s="2428"/>
      <c r="L231" s="2429"/>
    </row>
    <row r="232" spans="1:15" x14ac:dyDescent="0.3">
      <c r="A232" s="181" t="s">
        <v>72</v>
      </c>
      <c r="B232" s="79" t="s">
        <v>15</v>
      </c>
      <c r="C232" s="315" t="s">
        <v>307</v>
      </c>
      <c r="D232" s="316"/>
      <c r="E232" s="316"/>
      <c r="F232" s="316"/>
      <c r="G232" s="316"/>
      <c r="H232" s="316"/>
      <c r="I232" s="316"/>
      <c r="J232" s="316"/>
      <c r="K232" s="316"/>
      <c r="L232" s="317"/>
    </row>
    <row r="233" spans="1:15" ht="22.5" customHeight="1" x14ac:dyDescent="0.3">
      <c r="A233" s="2099" t="s">
        <v>72</v>
      </c>
      <c r="B233" s="2650" t="s">
        <v>15</v>
      </c>
      <c r="C233" s="2622" t="s">
        <v>15</v>
      </c>
      <c r="D233" s="2648" t="s">
        <v>308</v>
      </c>
      <c r="E233" s="2632" t="s">
        <v>19</v>
      </c>
      <c r="F233" s="2412" t="s">
        <v>20</v>
      </c>
      <c r="G233" s="2424" t="s">
        <v>309</v>
      </c>
      <c r="H233" s="2414" t="s">
        <v>22</v>
      </c>
      <c r="I233" s="319" t="s">
        <v>87</v>
      </c>
      <c r="J233" s="319">
        <f>24.2+7.6</f>
        <v>31.799999999999997</v>
      </c>
      <c r="K233" s="319">
        <v>24.2</v>
      </c>
      <c r="L233" s="1254">
        <v>24.2</v>
      </c>
    </row>
    <row r="234" spans="1:15" ht="15" customHeight="1" x14ac:dyDescent="0.3">
      <c r="A234" s="2621"/>
      <c r="B234" s="2631"/>
      <c r="C234" s="2623"/>
      <c r="D234" s="2649"/>
      <c r="E234" s="2415"/>
      <c r="F234" s="2413"/>
      <c r="G234" s="2425"/>
      <c r="H234" s="2415"/>
      <c r="I234" s="488" t="s">
        <v>24</v>
      </c>
      <c r="J234" s="36">
        <f>SUM(J233)</f>
        <v>31.799999999999997</v>
      </c>
      <c r="K234" s="36">
        <f>SUM(K233)</f>
        <v>24.2</v>
      </c>
      <c r="L234" s="478">
        <f>SUM(L233)</f>
        <v>24.2</v>
      </c>
    </row>
    <row r="235" spans="1:15" ht="15" customHeight="1" x14ac:dyDescent="0.3">
      <c r="A235" s="2620" t="s">
        <v>72</v>
      </c>
      <c r="B235" s="2235" t="s">
        <v>15</v>
      </c>
      <c r="C235" s="2379" t="s">
        <v>25</v>
      </c>
      <c r="D235" s="2377" t="s">
        <v>310</v>
      </c>
      <c r="E235" s="1997" t="s">
        <v>19</v>
      </c>
      <c r="F235" s="1523" t="s">
        <v>20</v>
      </c>
      <c r="G235" s="2618" t="s">
        <v>309</v>
      </c>
      <c r="H235" s="2283" t="s">
        <v>311</v>
      </c>
      <c r="I235" s="636" t="s">
        <v>23</v>
      </c>
      <c r="J235" s="16">
        <f>19.5-2.5</f>
        <v>17</v>
      </c>
      <c r="K235" s="16">
        <v>19.5</v>
      </c>
      <c r="L235" s="1114">
        <v>19.5</v>
      </c>
    </row>
    <row r="236" spans="1:15" ht="19.5" customHeight="1" x14ac:dyDescent="0.3">
      <c r="A236" s="2620"/>
      <c r="B236" s="2278"/>
      <c r="C236" s="2379"/>
      <c r="D236" s="2377"/>
      <c r="E236" s="1997"/>
      <c r="F236" s="1523"/>
      <c r="G236" s="2618"/>
      <c r="H236" s="2283"/>
      <c r="I236" s="637" t="s">
        <v>24</v>
      </c>
      <c r="J236" s="489">
        <f>SUM(J235:J235)</f>
        <v>17</v>
      </c>
      <c r="K236" s="489">
        <f t="shared" ref="K236:L236" si="31">SUM(K235:K235)</f>
        <v>19.5</v>
      </c>
      <c r="L236" s="478">
        <f t="shared" si="31"/>
        <v>19.5</v>
      </c>
    </row>
    <row r="237" spans="1:15" ht="24" customHeight="1" x14ac:dyDescent="0.3">
      <c r="A237" s="2646" t="s">
        <v>72</v>
      </c>
      <c r="B237" s="2235" t="s">
        <v>15</v>
      </c>
      <c r="C237" s="2430" t="s">
        <v>27</v>
      </c>
      <c r="D237" s="2625" t="s">
        <v>312</v>
      </c>
      <c r="E237" s="2628" t="s">
        <v>19</v>
      </c>
      <c r="F237" s="638" t="s">
        <v>20</v>
      </c>
      <c r="G237" s="639" t="s">
        <v>309</v>
      </c>
      <c r="H237" s="2616" t="s">
        <v>313</v>
      </c>
      <c r="I237" s="903" t="s">
        <v>23</v>
      </c>
      <c r="J237" s="640">
        <v>18</v>
      </c>
      <c r="K237" s="640">
        <v>18</v>
      </c>
      <c r="L237" s="951">
        <v>18</v>
      </c>
    </row>
    <row r="238" spans="1:15" ht="22.5" customHeight="1" x14ac:dyDescent="0.3">
      <c r="A238" s="2647"/>
      <c r="B238" s="2278"/>
      <c r="C238" s="2431"/>
      <c r="D238" s="2626"/>
      <c r="E238" s="2629"/>
      <c r="F238" s="738" t="s">
        <v>61</v>
      </c>
      <c r="G238" s="1953" t="s">
        <v>36</v>
      </c>
      <c r="H238" s="2139"/>
      <c r="I238" s="581" t="s">
        <v>23</v>
      </c>
      <c r="J238" s="399">
        <f>8.2+1.4</f>
        <v>9.6</v>
      </c>
      <c r="K238" s="399">
        <v>8.1999999999999993</v>
      </c>
      <c r="L238" s="641">
        <v>8.1999999999999993</v>
      </c>
      <c r="O238" s="526"/>
    </row>
    <row r="239" spans="1:15" ht="17.25" customHeight="1" thickBot="1" x14ac:dyDescent="0.35">
      <c r="A239" s="2647"/>
      <c r="B239" s="2278"/>
      <c r="C239" s="2431"/>
      <c r="D239" s="2626"/>
      <c r="E239" s="2629"/>
      <c r="F239" s="2624" t="s">
        <v>55</v>
      </c>
      <c r="G239" s="2644"/>
      <c r="H239" s="2139"/>
      <c r="I239" s="642" t="s">
        <v>23</v>
      </c>
      <c r="J239" s="31">
        <f>40.8+2.1</f>
        <v>42.9</v>
      </c>
      <c r="K239" s="31">
        <v>40.799999999999997</v>
      </c>
      <c r="L239" s="1000">
        <v>40.799999999999997</v>
      </c>
    </row>
    <row r="240" spans="1:15" ht="19.5" customHeight="1" thickBot="1" x14ac:dyDescent="0.35">
      <c r="A240" s="2647"/>
      <c r="B240" s="2236"/>
      <c r="C240" s="2602"/>
      <c r="D240" s="2627"/>
      <c r="E240" s="2630"/>
      <c r="F240" s="2362"/>
      <c r="G240" s="2645"/>
      <c r="H240" s="1989"/>
      <c r="I240" s="635" t="s">
        <v>24</v>
      </c>
      <c r="J240" s="546">
        <f>SUM(J237:J239)</f>
        <v>70.5</v>
      </c>
      <c r="K240" s="546">
        <f t="shared" ref="K240:L240" si="32">SUM(K237:K239)</f>
        <v>67</v>
      </c>
      <c r="L240" s="281">
        <f t="shared" si="32"/>
        <v>67</v>
      </c>
    </row>
    <row r="241" spans="1:17" ht="19.5" customHeight="1" thickBot="1" x14ac:dyDescent="0.35">
      <c r="A241" s="1588" t="s">
        <v>72</v>
      </c>
      <c r="B241" s="2631" t="s">
        <v>15</v>
      </c>
      <c r="C241" s="2279" t="s">
        <v>31</v>
      </c>
      <c r="D241" s="2619" t="s">
        <v>314</v>
      </c>
      <c r="E241" s="1997" t="s">
        <v>19</v>
      </c>
      <c r="F241" s="2294" t="s">
        <v>20</v>
      </c>
      <c r="G241" s="2618" t="s">
        <v>309</v>
      </c>
      <c r="H241" s="2615" t="s">
        <v>313</v>
      </c>
      <c r="I241" s="392" t="s">
        <v>23</v>
      </c>
      <c r="J241" s="16">
        <v>0</v>
      </c>
      <c r="K241" s="16">
        <v>0</v>
      </c>
      <c r="L241" s="242">
        <v>0</v>
      </c>
    </row>
    <row r="242" spans="1:17" ht="19.5" customHeight="1" thickBot="1" x14ac:dyDescent="0.35">
      <c r="A242" s="1701"/>
      <c r="B242" s="2631"/>
      <c r="C242" s="2279"/>
      <c r="D242" s="2619"/>
      <c r="E242" s="1997"/>
      <c r="F242" s="2294"/>
      <c r="G242" s="2618"/>
      <c r="H242" s="2283"/>
      <c r="I242" s="637" t="s">
        <v>24</v>
      </c>
      <c r="J242" s="489">
        <f>SUM(J241:J241)</f>
        <v>0</v>
      </c>
      <c r="K242" s="489">
        <f>SUM(K241:K241)</f>
        <v>0</v>
      </c>
      <c r="L242" s="425">
        <f>SUM(L241:L241)</f>
        <v>0</v>
      </c>
    </row>
    <row r="243" spans="1:17" ht="29.25" customHeight="1" thickBot="1" x14ac:dyDescent="0.35">
      <c r="A243" s="1588" t="s">
        <v>72</v>
      </c>
      <c r="B243" s="1590" t="s">
        <v>15</v>
      </c>
      <c r="C243" s="1926" t="s">
        <v>33</v>
      </c>
      <c r="D243" s="2066" t="s">
        <v>515</v>
      </c>
      <c r="E243" s="1996" t="s">
        <v>19</v>
      </c>
      <c r="F243" s="1461" t="s">
        <v>20</v>
      </c>
      <c r="G243" s="2060" t="s">
        <v>171</v>
      </c>
      <c r="H243" s="1994"/>
      <c r="I243" s="1460" t="s">
        <v>23</v>
      </c>
      <c r="J243" s="1327">
        <f>2.5-2.5</f>
        <v>0</v>
      </c>
      <c r="K243" s="1327">
        <v>0</v>
      </c>
      <c r="L243" s="1327">
        <v>0</v>
      </c>
    </row>
    <row r="244" spans="1:17" ht="29.25" customHeight="1" thickBot="1" x14ac:dyDescent="0.35">
      <c r="A244" s="1589"/>
      <c r="B244" s="1591"/>
      <c r="C244" s="1946"/>
      <c r="D244" s="2109"/>
      <c r="E244" s="1997"/>
      <c r="F244" s="1461" t="s">
        <v>47</v>
      </c>
      <c r="G244" s="1959"/>
      <c r="H244" s="1995"/>
      <c r="I244" s="1460" t="s">
        <v>23</v>
      </c>
      <c r="J244" s="1327">
        <f t="shared" ref="J244:J250" si="33">0+0.5</f>
        <v>0.5</v>
      </c>
      <c r="K244" s="1327">
        <v>0</v>
      </c>
      <c r="L244" s="1327">
        <v>0</v>
      </c>
    </row>
    <row r="245" spans="1:17" ht="39" customHeight="1" thickBot="1" x14ac:dyDescent="0.35">
      <c r="A245" s="1589"/>
      <c r="B245" s="1591"/>
      <c r="C245" s="1946"/>
      <c r="D245" s="2109"/>
      <c r="E245" s="1997"/>
      <c r="F245" s="1441" t="s">
        <v>45</v>
      </c>
      <c r="G245" s="1959"/>
      <c r="H245" s="1995"/>
      <c r="I245" s="1460" t="s">
        <v>23</v>
      </c>
      <c r="J245" s="1327">
        <f t="shared" si="33"/>
        <v>0.5</v>
      </c>
      <c r="K245" s="1327">
        <v>0</v>
      </c>
      <c r="L245" s="1327">
        <v>0</v>
      </c>
    </row>
    <row r="246" spans="1:17" ht="29.4" customHeight="1" thickBot="1" x14ac:dyDescent="0.35">
      <c r="A246" s="1589"/>
      <c r="B246" s="1591"/>
      <c r="C246" s="1946"/>
      <c r="D246" s="2109"/>
      <c r="E246" s="1997"/>
      <c r="F246" s="1441" t="s">
        <v>43</v>
      </c>
      <c r="G246" s="1959"/>
      <c r="H246" s="1995"/>
      <c r="I246" s="1460" t="s">
        <v>23</v>
      </c>
      <c r="J246" s="1327">
        <f t="shared" si="33"/>
        <v>0.5</v>
      </c>
      <c r="K246" s="1327">
        <v>0</v>
      </c>
      <c r="L246" s="1327">
        <v>0</v>
      </c>
    </row>
    <row r="247" spans="1:17" ht="29.25" customHeight="1" thickBot="1" x14ac:dyDescent="0.35">
      <c r="A247" s="1589"/>
      <c r="B247" s="1591"/>
      <c r="C247" s="1946"/>
      <c r="D247" s="2109"/>
      <c r="E247" s="1997"/>
      <c r="F247" s="1464" t="s">
        <v>44</v>
      </c>
      <c r="G247" s="1959"/>
      <c r="H247" s="1995"/>
      <c r="I247" s="1460" t="s">
        <v>23</v>
      </c>
      <c r="J247" s="1327">
        <f t="shared" si="33"/>
        <v>0.5</v>
      </c>
      <c r="K247" s="1327">
        <v>0</v>
      </c>
      <c r="L247" s="1327">
        <v>0</v>
      </c>
    </row>
    <row r="248" spans="1:17" ht="37.950000000000003" customHeight="1" thickBot="1" x14ac:dyDescent="0.35">
      <c r="A248" s="1589"/>
      <c r="B248" s="1591"/>
      <c r="C248" s="1946"/>
      <c r="D248" s="2109"/>
      <c r="E248" s="1997"/>
      <c r="F248" s="1441" t="s">
        <v>46</v>
      </c>
      <c r="G248" s="1959"/>
      <c r="H248" s="1995"/>
      <c r="I248" s="1460" t="s">
        <v>23</v>
      </c>
      <c r="J248" s="1327">
        <f t="shared" si="33"/>
        <v>0.5</v>
      </c>
      <c r="K248" s="1327">
        <v>0</v>
      </c>
      <c r="L248" s="1327">
        <v>0</v>
      </c>
    </row>
    <row r="249" spans="1:17" ht="35.4" customHeight="1" thickBot="1" x14ac:dyDescent="0.35">
      <c r="A249" s="1589"/>
      <c r="B249" s="1591"/>
      <c r="C249" s="1946"/>
      <c r="D249" s="2109"/>
      <c r="E249" s="1997"/>
      <c r="F249" s="1464" t="s">
        <v>48</v>
      </c>
      <c r="G249" s="1959"/>
      <c r="H249" s="1995"/>
      <c r="I249" s="1460" t="s">
        <v>23</v>
      </c>
      <c r="J249" s="1327">
        <f t="shared" si="33"/>
        <v>0.5</v>
      </c>
      <c r="K249" s="1327">
        <v>0</v>
      </c>
      <c r="L249" s="1327">
        <v>0</v>
      </c>
    </row>
    <row r="250" spans="1:17" ht="37.5" customHeight="1" thickBot="1" x14ac:dyDescent="0.35">
      <c r="A250" s="1589"/>
      <c r="B250" s="1591"/>
      <c r="C250" s="1946"/>
      <c r="D250" s="2109"/>
      <c r="E250" s="1997"/>
      <c r="F250" s="887" t="s">
        <v>49</v>
      </c>
      <c r="G250" s="1959"/>
      <c r="H250" s="1995"/>
      <c r="I250" s="1460" t="s">
        <v>23</v>
      </c>
      <c r="J250" s="1327">
        <f t="shared" si="33"/>
        <v>0.5</v>
      </c>
      <c r="K250" s="1327">
        <v>0</v>
      </c>
      <c r="L250" s="1327">
        <v>0</v>
      </c>
    </row>
    <row r="251" spans="1:17" ht="19.5" customHeight="1" thickBot="1" x14ac:dyDescent="0.35">
      <c r="A251" s="1701"/>
      <c r="B251" s="1662"/>
      <c r="C251" s="2218"/>
      <c r="D251" s="2219"/>
      <c r="E251" s="2220"/>
      <c r="F251" s="1462"/>
      <c r="G251" s="2221"/>
      <c r="H251" s="1666"/>
      <c r="I251" s="763" t="s">
        <v>24</v>
      </c>
      <c r="J251" s="627">
        <f>SUM(J243:J250)</f>
        <v>3.5</v>
      </c>
      <c r="K251" s="627">
        <f>SUM(K243:K243)</f>
        <v>0</v>
      </c>
      <c r="L251" s="627">
        <f>SUM(L243:L243)</f>
        <v>0</v>
      </c>
    </row>
    <row r="252" spans="1:17" ht="19.5" customHeight="1" thickBot="1" x14ac:dyDescent="0.35">
      <c r="A252" s="78" t="s">
        <v>72</v>
      </c>
      <c r="B252" s="85" t="s">
        <v>15</v>
      </c>
      <c r="C252" s="2436" t="s">
        <v>80</v>
      </c>
      <c r="D252" s="2437"/>
      <c r="E252" s="2437"/>
      <c r="F252" s="2437"/>
      <c r="G252" s="2437"/>
      <c r="H252" s="2437"/>
      <c r="I252" s="2438"/>
      <c r="J252" s="320">
        <f>J234+J236+J240+J242+J251</f>
        <v>122.8</v>
      </c>
      <c r="K252" s="320">
        <f>K234+K236+K240+K242</f>
        <v>110.7</v>
      </c>
      <c r="L252" s="321">
        <f>L234+L236+L240+L242</f>
        <v>110.7</v>
      </c>
    </row>
    <row r="253" spans="1:17" x14ac:dyDescent="0.3">
      <c r="A253" s="87" t="s">
        <v>72</v>
      </c>
      <c r="B253" s="2612" t="s">
        <v>83</v>
      </c>
      <c r="C253" s="2613"/>
      <c r="D253" s="2613"/>
      <c r="E253" s="2613"/>
      <c r="F253" s="2613"/>
      <c r="G253" s="2613"/>
      <c r="H253" s="2613"/>
      <c r="I253" s="2614"/>
      <c r="J253" s="322">
        <f>J252</f>
        <v>122.8</v>
      </c>
      <c r="K253" s="322">
        <f t="shared" ref="K253:L253" si="34">K252</f>
        <v>110.7</v>
      </c>
      <c r="L253" s="292">
        <f t="shared" si="34"/>
        <v>110.7</v>
      </c>
    </row>
    <row r="254" spans="1:17" ht="15" thickBot="1" x14ac:dyDescent="0.35">
      <c r="A254" s="323" t="s">
        <v>27</v>
      </c>
      <c r="B254" s="2617" t="s">
        <v>141</v>
      </c>
      <c r="C254" s="1654"/>
      <c r="D254" s="1654"/>
      <c r="E254" s="1654"/>
      <c r="F254" s="1654"/>
      <c r="G254" s="1654"/>
      <c r="H254" s="1654"/>
      <c r="I254" s="2067"/>
      <c r="J254" s="324">
        <f>J84+J108+J139+J148+J192+J230+J253</f>
        <v>25752.151000000005</v>
      </c>
      <c r="K254" s="324">
        <f>K84+K108+K139+K148+K192+K230+K253</f>
        <v>15359.741000000002</v>
      </c>
      <c r="L254" s="324">
        <f>L84+L108+L139+L148+L192+L230+L253</f>
        <v>25615.240999999998</v>
      </c>
      <c r="P254" s="526"/>
    </row>
    <row r="255" spans="1:17" x14ac:dyDescent="0.3">
      <c r="A255" s="116" t="s">
        <v>142</v>
      </c>
      <c r="B255" s="123"/>
      <c r="C255" s="123"/>
      <c r="D255" s="123"/>
      <c r="E255" s="123"/>
      <c r="F255" s="123"/>
      <c r="G255" s="123"/>
      <c r="H255" s="123"/>
      <c r="I255" s="123"/>
      <c r="J255" s="197"/>
      <c r="K255" s="197"/>
      <c r="P255" s="526"/>
      <c r="Q255" s="526"/>
    </row>
    <row r="256" spans="1:17" x14ac:dyDescent="0.3">
      <c r="A256" s="166"/>
      <c r="B256" s="123"/>
      <c r="C256" s="123"/>
      <c r="D256" s="123"/>
      <c r="E256" s="123"/>
      <c r="F256" s="123"/>
      <c r="G256" s="123"/>
      <c r="H256" s="123"/>
      <c r="I256" s="123"/>
      <c r="J256" s="325"/>
      <c r="K256" s="325"/>
    </row>
    <row r="257" spans="1:16" x14ac:dyDescent="0.3">
      <c r="A257" s="166"/>
      <c r="B257" s="123"/>
      <c r="C257" s="123"/>
      <c r="D257" s="192" t="s">
        <v>143</v>
      </c>
      <c r="E257" s="192"/>
      <c r="F257" s="192"/>
      <c r="G257" s="123"/>
      <c r="H257" s="123"/>
      <c r="I257" s="123"/>
      <c r="J257" s="197"/>
      <c r="K257" s="197"/>
      <c r="P257" s="526"/>
    </row>
    <row r="258" spans="1:16" x14ac:dyDescent="0.3">
      <c r="A258" s="120"/>
      <c r="B258" s="120"/>
      <c r="C258" s="193"/>
      <c r="D258" s="122"/>
      <c r="E258" s="123"/>
      <c r="F258" s="123"/>
      <c r="G258" s="123"/>
      <c r="H258" s="123"/>
      <c r="I258" s="123"/>
      <c r="J258" s="197"/>
      <c r="K258" s="197"/>
    </row>
    <row r="259" spans="1:16" ht="23.4" customHeight="1" thickBot="1" x14ac:dyDescent="0.35">
      <c r="A259" s="197"/>
      <c r="B259" s="197"/>
      <c r="C259" s="197"/>
      <c r="D259" s="1649" t="s">
        <v>144</v>
      </c>
      <c r="E259" s="1650"/>
      <c r="F259" s="1650"/>
      <c r="G259" s="1650"/>
      <c r="H259" s="1650"/>
      <c r="I259" s="1650"/>
      <c r="J259" s="773" t="s">
        <v>10</v>
      </c>
      <c r="K259" s="774" t="s">
        <v>11</v>
      </c>
      <c r="L259" s="126" t="s">
        <v>12</v>
      </c>
    </row>
    <row r="260" spans="1:16" x14ac:dyDescent="0.3">
      <c r="A260" s="197"/>
      <c r="B260" s="197"/>
      <c r="C260" s="197"/>
      <c r="D260" s="1659" t="s">
        <v>145</v>
      </c>
      <c r="E260" s="1660"/>
      <c r="F260" s="1660"/>
      <c r="G260" s="1660"/>
      <c r="H260" s="1660"/>
      <c r="I260" s="1660"/>
      <c r="J260" s="127"/>
      <c r="K260" s="128"/>
      <c r="L260" s="128"/>
    </row>
    <row r="261" spans="1:16" ht="15" customHeight="1" thickBot="1" x14ac:dyDescent="0.35">
      <c r="A261" s="197"/>
      <c r="B261" s="197"/>
      <c r="C261" s="197"/>
      <c r="D261" s="1632" t="s">
        <v>146</v>
      </c>
      <c r="E261" s="1633"/>
      <c r="F261" s="1633"/>
      <c r="G261" s="1633"/>
      <c r="H261" s="1633"/>
      <c r="I261" s="1633"/>
      <c r="J261" s="129">
        <f>J262+J268+J269</f>
        <v>13071.351000000002</v>
      </c>
      <c r="K261" s="129">
        <f t="shared" ref="K261:L261" si="35">K262+K268+K269</f>
        <v>15359.740999999998</v>
      </c>
      <c r="L261" s="129">
        <f t="shared" si="35"/>
        <v>25615.240999999998</v>
      </c>
    </row>
    <row r="262" spans="1:16" ht="15" customHeight="1" x14ac:dyDescent="0.3">
      <c r="D262" s="1645" t="s">
        <v>147</v>
      </c>
      <c r="E262" s="1646"/>
      <c r="F262" s="1646"/>
      <c r="G262" s="1646"/>
      <c r="H262" s="1646"/>
      <c r="I262" s="1646"/>
      <c r="J262" s="130">
        <f>SUM(J263:J267)</f>
        <v>12289.851000000002</v>
      </c>
      <c r="K262" s="130">
        <f t="shared" ref="K262:L262" si="36">SUM(K263:K267)</f>
        <v>15031.240999999998</v>
      </c>
      <c r="L262" s="130">
        <f t="shared" si="36"/>
        <v>25286.740999999998</v>
      </c>
    </row>
    <row r="263" spans="1:16" ht="15" customHeight="1" x14ac:dyDescent="0.3">
      <c r="A263" s="197"/>
      <c r="B263" s="197"/>
      <c r="C263" s="197"/>
      <c r="D263" s="1651" t="s">
        <v>148</v>
      </c>
      <c r="E263" s="1652"/>
      <c r="F263" s="1652"/>
      <c r="G263" s="1652"/>
      <c r="H263" s="1652"/>
      <c r="I263" s="1653"/>
      <c r="J263" s="131">
        <f>SUMIF($I13:$I255,"SBN",J13:J255)</f>
        <v>6658.6400000000021</v>
      </c>
      <c r="K263" s="131">
        <f>SUMIF($I13:$I255,"SBN",K13:K255)</f>
        <v>8573.2000000000007</v>
      </c>
      <c r="L263" s="131">
        <f>SUMIF($I13:$I255,"SBN",L13:L255)</f>
        <v>8739.5</v>
      </c>
      <c r="N263" s="527"/>
    </row>
    <row r="264" spans="1:16" ht="15" customHeight="1" x14ac:dyDescent="0.3">
      <c r="A264" s="197"/>
      <c r="B264" s="197"/>
      <c r="C264" s="197"/>
      <c r="D264" s="1635" t="s">
        <v>149</v>
      </c>
      <c r="E264" s="1636"/>
      <c r="F264" s="1636"/>
      <c r="G264" s="1636"/>
      <c r="H264" s="1636"/>
      <c r="I264" s="1637"/>
      <c r="J264" s="131">
        <f>SUMIF($I13:$I255,"VBD",J13:J255)</f>
        <v>4767.3110000000006</v>
      </c>
      <c r="K264" s="131">
        <f>SUMIF($I13:$I255,"VBD",K13:K255)</f>
        <v>4366.5409999999983</v>
      </c>
      <c r="L264" s="131">
        <f>SUMIF($I13:$I255,"VBD",L13:L255)</f>
        <v>4366.5409999999983</v>
      </c>
      <c r="N264" s="527"/>
    </row>
    <row r="265" spans="1:16" ht="15" customHeight="1" x14ac:dyDescent="0.3">
      <c r="A265" s="197"/>
      <c r="B265" s="197"/>
      <c r="C265" s="197"/>
      <c r="D265" s="1635" t="s">
        <v>150</v>
      </c>
      <c r="E265" s="1636"/>
      <c r="F265" s="1636"/>
      <c r="G265" s="1636"/>
      <c r="H265" s="1636"/>
      <c r="I265" s="1637"/>
      <c r="J265" s="131">
        <f>SUMIF($I13:$I255,"PĮ",J13:J255)</f>
        <v>400.9</v>
      </c>
      <c r="K265" s="131">
        <f>SUMIF($I13:$I255,"PĮ",K13:K255)</f>
        <v>293.5</v>
      </c>
      <c r="L265" s="131">
        <f>SUMIF($I13:$I255,"PĮ",L13:L255)</f>
        <v>293.5</v>
      </c>
      <c r="N265" s="527"/>
    </row>
    <row r="266" spans="1:16" ht="15" customHeight="1" x14ac:dyDescent="0.3">
      <c r="A266" s="197"/>
      <c r="B266" s="197"/>
      <c r="C266" s="197"/>
      <c r="D266" s="1635" t="s">
        <v>151</v>
      </c>
      <c r="E266" s="1636"/>
      <c r="F266" s="1636"/>
      <c r="G266" s="1636"/>
      <c r="H266" s="1636"/>
      <c r="I266" s="1637"/>
      <c r="J266" s="131">
        <f>SUMIF($I13:$I255,"TPP",J13:J255)</f>
        <v>38</v>
      </c>
      <c r="K266" s="131">
        <f>SUMIF($I13:$I255,"TPP",K13:K255)</f>
        <v>38</v>
      </c>
      <c r="L266" s="131">
        <f>SUMIF($I13:$I255,"TPP",L13:L255)</f>
        <v>38</v>
      </c>
      <c r="N266" s="527"/>
    </row>
    <row r="267" spans="1:16" x14ac:dyDescent="0.3">
      <c r="A267" s="197"/>
      <c r="B267" s="197"/>
      <c r="C267" s="197"/>
      <c r="D267" s="1635" t="s">
        <v>152</v>
      </c>
      <c r="E267" s="1636"/>
      <c r="F267" s="1636"/>
      <c r="G267" s="1636"/>
      <c r="H267" s="1636"/>
      <c r="I267" s="1637"/>
      <c r="J267" s="131">
        <f>SUMIF($I13:$I255,"ES",J13:J255)</f>
        <v>425</v>
      </c>
      <c r="K267" s="131">
        <f>SUMIF($I13:$I255,"ES",K13:K255)</f>
        <v>1760</v>
      </c>
      <c r="L267" s="131">
        <f>SUMIF($I13:$I255,"ES",L13:L255)</f>
        <v>11849.2</v>
      </c>
      <c r="N267" s="527"/>
    </row>
    <row r="268" spans="1:16" ht="15" customHeight="1" x14ac:dyDescent="0.3">
      <c r="A268" s="197"/>
      <c r="B268" s="197"/>
      <c r="C268" s="197"/>
      <c r="D268" s="1635" t="s">
        <v>153</v>
      </c>
      <c r="E268" s="1636"/>
      <c r="F268" s="1636"/>
      <c r="G268" s="1636"/>
      <c r="H268" s="1636"/>
      <c r="I268" s="1637"/>
      <c r="J268" s="131">
        <f>SUMIF($I13:$I255,"SL",J13:J255)</f>
        <v>264.10000000000002</v>
      </c>
      <c r="K268" s="131">
        <f>SUMIF($I13:$I255,"SL",K13:K255)</f>
        <v>0</v>
      </c>
      <c r="L268" s="131">
        <f>SUMIF($I13:$I255,"SL",L13:L255)</f>
        <v>0</v>
      </c>
      <c r="N268" s="527"/>
    </row>
    <row r="269" spans="1:16" ht="15.75" customHeight="1" thickBot="1" x14ac:dyDescent="0.35">
      <c r="A269" s="197"/>
      <c r="B269" s="197"/>
      <c r="C269" s="197"/>
      <c r="D269" s="1635" t="s">
        <v>154</v>
      </c>
      <c r="E269" s="1636"/>
      <c r="F269" s="1636"/>
      <c r="G269" s="1636"/>
      <c r="H269" s="1636"/>
      <c r="I269" s="1637"/>
      <c r="J269" s="132">
        <f>SUMIF($I13:$I255,"AML",J13:J255)</f>
        <v>517.39999999999986</v>
      </c>
      <c r="K269" s="132">
        <f>SUMIF($I13:$I255,"AML",K13:K255)</f>
        <v>328.5</v>
      </c>
      <c r="L269" s="132">
        <f>SUMIF($I13:$I255,"AML",L13:L255)</f>
        <v>328.5</v>
      </c>
    </row>
    <row r="270" spans="1:16" ht="23.25" customHeight="1" thickBot="1" x14ac:dyDescent="0.35">
      <c r="A270" s="197"/>
      <c r="B270" s="197"/>
      <c r="C270" s="197"/>
      <c r="D270" s="1632" t="s">
        <v>155</v>
      </c>
      <c r="E270" s="1633"/>
      <c r="F270" s="1633"/>
      <c r="G270" s="1633"/>
      <c r="H270" s="1633"/>
      <c r="I270" s="1634"/>
      <c r="J270" s="129">
        <v>0</v>
      </c>
      <c r="K270" s="129">
        <v>0</v>
      </c>
      <c r="L270" s="194">
        <v>0</v>
      </c>
    </row>
    <row r="271" spans="1:16" ht="34.5" customHeight="1" thickBot="1" x14ac:dyDescent="0.35">
      <c r="A271" s="197"/>
      <c r="B271" s="197"/>
      <c r="C271" s="197"/>
      <c r="D271" s="1629" t="s">
        <v>156</v>
      </c>
      <c r="E271" s="1630"/>
      <c r="F271" s="1630"/>
      <c r="G271" s="1630"/>
      <c r="H271" s="1630"/>
      <c r="I271" s="1631"/>
      <c r="J271" s="326">
        <f>SUMIF($I13:$I255,"Kt",J13:J255)</f>
        <v>12680.800000000003</v>
      </c>
      <c r="K271" s="326">
        <f>SUMIF($I13:$I255,"Kt",K13:K255)</f>
        <v>181.2</v>
      </c>
      <c r="L271" s="326">
        <f>SUMIF($I13:$I255,"Kt",L13:L255)</f>
        <v>127.80000000000001</v>
      </c>
    </row>
    <row r="272" spans="1:16" ht="15" customHeight="1" thickBot="1" x14ac:dyDescent="0.35">
      <c r="A272" s="197"/>
      <c r="B272" s="197"/>
      <c r="C272" s="197"/>
      <c r="D272" s="1632" t="s">
        <v>157</v>
      </c>
      <c r="E272" s="1633"/>
      <c r="F272" s="1633"/>
      <c r="G272" s="1633"/>
      <c r="H272" s="1633"/>
      <c r="I272" s="1634"/>
      <c r="J272" s="129">
        <f>J261+J270+J271</f>
        <v>25752.151000000005</v>
      </c>
      <c r="K272" s="129">
        <f t="shared" ref="K272:L272" si="37">K261+K270+K271</f>
        <v>15540.940999999999</v>
      </c>
      <c r="L272" s="129">
        <f t="shared" si="37"/>
        <v>25743.040999999997</v>
      </c>
    </row>
    <row r="273" spans="1:12" ht="15.75" customHeight="1" thickBot="1" x14ac:dyDescent="0.35">
      <c r="D273" s="1635" t="s">
        <v>158</v>
      </c>
      <c r="E273" s="1636"/>
      <c r="F273" s="1636"/>
      <c r="G273" s="1636"/>
      <c r="H273" s="1636"/>
      <c r="I273" s="1637"/>
      <c r="J273" s="138">
        <v>0</v>
      </c>
      <c r="K273" s="138">
        <v>0</v>
      </c>
      <c r="L273" s="196">
        <v>0</v>
      </c>
    </row>
    <row r="274" spans="1:12" ht="14.4" customHeight="1" thickBot="1" x14ac:dyDescent="0.35">
      <c r="A274" s="197"/>
      <c r="B274" s="197"/>
      <c r="C274" s="197"/>
      <c r="D274" s="1626" t="s">
        <v>159</v>
      </c>
      <c r="E274" s="1627"/>
      <c r="F274" s="1627"/>
      <c r="G274" s="1627"/>
      <c r="H274" s="1627"/>
      <c r="I274" s="1628"/>
      <c r="J274" s="831">
        <f>J272</f>
        <v>25752.151000000005</v>
      </c>
      <c r="K274" s="141">
        <f t="shared" ref="K274:L274" si="38">K272</f>
        <v>15540.940999999999</v>
      </c>
      <c r="L274" s="141">
        <f t="shared" si="38"/>
        <v>25743.040999999997</v>
      </c>
    </row>
    <row r="275" spans="1:12" x14ac:dyDescent="0.3">
      <c r="A275" s="197"/>
      <c r="B275" s="197"/>
      <c r="C275" s="197"/>
      <c r="D275" s="197"/>
      <c r="E275" s="20"/>
      <c r="F275" s="197"/>
      <c r="G275" s="197"/>
      <c r="H275" s="197"/>
      <c r="I275" s="197"/>
      <c r="J275" s="197"/>
      <c r="K275" s="197"/>
    </row>
    <row r="276" spans="1:12" x14ac:dyDescent="0.3">
      <c r="A276" s="197"/>
      <c r="B276" s="197"/>
      <c r="C276" s="197"/>
      <c r="D276" s="197"/>
      <c r="E276" s="20"/>
      <c r="F276" s="197"/>
      <c r="G276" s="197"/>
      <c r="H276" s="197"/>
      <c r="I276" s="197"/>
      <c r="J276" s="197"/>
      <c r="K276" s="197"/>
    </row>
    <row r="277" spans="1:12" x14ac:dyDescent="0.3">
      <c r="A277" s="197"/>
      <c r="B277" s="197"/>
      <c r="C277" s="197"/>
      <c r="D277" s="197"/>
      <c r="E277" s="20"/>
      <c r="F277" s="197"/>
      <c r="G277" s="197"/>
      <c r="H277" s="197"/>
      <c r="I277" s="197"/>
      <c r="J277" s="197"/>
      <c r="K277" s="197"/>
    </row>
    <row r="278" spans="1:12" x14ac:dyDescent="0.3">
      <c r="A278" s="197"/>
      <c r="B278" s="197"/>
      <c r="C278" s="197"/>
      <c r="D278" s="197"/>
      <c r="E278" s="20"/>
      <c r="F278" s="197"/>
      <c r="G278" s="197"/>
      <c r="H278" s="197"/>
      <c r="I278" s="197"/>
      <c r="J278" s="197"/>
      <c r="K278" s="197"/>
    </row>
  </sheetData>
  <mergeCells count="461">
    <mergeCell ref="I1:L1"/>
    <mergeCell ref="I2:L2"/>
    <mergeCell ref="I6:L6"/>
    <mergeCell ref="A151:A155"/>
    <mergeCell ref="D167:D168"/>
    <mergeCell ref="C169:C170"/>
    <mergeCell ref="I160:I161"/>
    <mergeCell ref="J160:J161"/>
    <mergeCell ref="K160:K161"/>
    <mergeCell ref="L160:L161"/>
    <mergeCell ref="E151:E155"/>
    <mergeCell ref="F133:F135"/>
    <mergeCell ref="C150:L150"/>
    <mergeCell ref="C147:I147"/>
    <mergeCell ref="F156:F159"/>
    <mergeCell ref="C151:C155"/>
    <mergeCell ref="H156:H159"/>
    <mergeCell ref="D144:D146"/>
    <mergeCell ref="F136:F137"/>
    <mergeCell ref="K111:K112"/>
    <mergeCell ref="L111:L112"/>
    <mergeCell ref="H114:H115"/>
    <mergeCell ref="H116:H117"/>
    <mergeCell ref="B142:B143"/>
    <mergeCell ref="D260:I260"/>
    <mergeCell ref="A199:A222"/>
    <mergeCell ref="A223:A225"/>
    <mergeCell ref="B226:B228"/>
    <mergeCell ref="C226:C228"/>
    <mergeCell ref="D226:D228"/>
    <mergeCell ref="E226:E228"/>
    <mergeCell ref="F226:F228"/>
    <mergeCell ref="G226:G228"/>
    <mergeCell ref="H226:H228"/>
    <mergeCell ref="F219:F222"/>
    <mergeCell ref="E223:E225"/>
    <mergeCell ref="B223:B225"/>
    <mergeCell ref="C223:C225"/>
    <mergeCell ref="D223:D225"/>
    <mergeCell ref="G238:G240"/>
    <mergeCell ref="A237:A240"/>
    <mergeCell ref="F208:F210"/>
    <mergeCell ref="G235:G236"/>
    <mergeCell ref="B235:B236"/>
    <mergeCell ref="D233:D234"/>
    <mergeCell ref="B233:B234"/>
    <mergeCell ref="B237:B240"/>
    <mergeCell ref="A226:A228"/>
    <mergeCell ref="A156:A159"/>
    <mergeCell ref="E167:E168"/>
    <mergeCell ref="B169:B170"/>
    <mergeCell ref="A169:A170"/>
    <mergeCell ref="A171:A172"/>
    <mergeCell ref="C176:C178"/>
    <mergeCell ref="A167:A168"/>
    <mergeCell ref="A165:A166"/>
    <mergeCell ref="D169:D170"/>
    <mergeCell ref="E165:E166"/>
    <mergeCell ref="A160:A162"/>
    <mergeCell ref="A173:A175"/>
    <mergeCell ref="E171:E172"/>
    <mergeCell ref="D241:D242"/>
    <mergeCell ref="A235:A236"/>
    <mergeCell ref="A233:A234"/>
    <mergeCell ref="C233:C234"/>
    <mergeCell ref="A241:A242"/>
    <mergeCell ref="F239:F240"/>
    <mergeCell ref="C237:C240"/>
    <mergeCell ref="D237:D240"/>
    <mergeCell ref="E237:E240"/>
    <mergeCell ref="B241:B242"/>
    <mergeCell ref="C241:C242"/>
    <mergeCell ref="E235:E236"/>
    <mergeCell ref="F235:F236"/>
    <mergeCell ref="E233:E234"/>
    <mergeCell ref="C235:C236"/>
    <mergeCell ref="D235:D236"/>
    <mergeCell ref="D274:I274"/>
    <mergeCell ref="B253:I253"/>
    <mergeCell ref="C252:I252"/>
    <mergeCell ref="H235:H236"/>
    <mergeCell ref="D259:I259"/>
    <mergeCell ref="D265:I265"/>
    <mergeCell ref="D263:I263"/>
    <mergeCell ref="D264:I264"/>
    <mergeCell ref="D273:I273"/>
    <mergeCell ref="D272:I272"/>
    <mergeCell ref="D270:I270"/>
    <mergeCell ref="D271:I271"/>
    <mergeCell ref="D269:I269"/>
    <mergeCell ref="D268:I268"/>
    <mergeCell ref="D267:I267"/>
    <mergeCell ref="D266:I266"/>
    <mergeCell ref="H241:H242"/>
    <mergeCell ref="H237:H240"/>
    <mergeCell ref="B254:I254"/>
    <mergeCell ref="D262:I262"/>
    <mergeCell ref="D261:I261"/>
    <mergeCell ref="E241:E242"/>
    <mergeCell ref="F241:F242"/>
    <mergeCell ref="G241:G242"/>
    <mergeCell ref="F199:F201"/>
    <mergeCell ref="H167:H168"/>
    <mergeCell ref="F167:F168"/>
    <mergeCell ref="G167:G168"/>
    <mergeCell ref="B149:L149"/>
    <mergeCell ref="E195:E198"/>
    <mergeCell ref="F195:F198"/>
    <mergeCell ref="G173:G175"/>
    <mergeCell ref="H171:H172"/>
    <mergeCell ref="D179:D182"/>
    <mergeCell ref="E176:E178"/>
    <mergeCell ref="D183:D185"/>
    <mergeCell ref="D176:D178"/>
    <mergeCell ref="H176:H178"/>
    <mergeCell ref="F165:F166"/>
    <mergeCell ref="G160:G162"/>
    <mergeCell ref="F169:F170"/>
    <mergeCell ref="B160:B162"/>
    <mergeCell ref="D165:D166"/>
    <mergeCell ref="C160:C162"/>
    <mergeCell ref="D160:D162"/>
    <mergeCell ref="E160:E162"/>
    <mergeCell ref="C164:L164"/>
    <mergeCell ref="C171:C172"/>
    <mergeCell ref="A142:A143"/>
    <mergeCell ref="A129:A132"/>
    <mergeCell ref="A133:A137"/>
    <mergeCell ref="D133:D137"/>
    <mergeCell ref="G129:G132"/>
    <mergeCell ref="A118:A121"/>
    <mergeCell ref="D114:D115"/>
    <mergeCell ref="F116:F117"/>
    <mergeCell ref="C127:C128"/>
    <mergeCell ref="D127:D128"/>
    <mergeCell ref="E127:E128"/>
    <mergeCell ref="F127:F128"/>
    <mergeCell ref="G127:G128"/>
    <mergeCell ref="G114:G115"/>
    <mergeCell ref="E114:E115"/>
    <mergeCell ref="G118:G121"/>
    <mergeCell ref="G116:G117"/>
    <mergeCell ref="B116:B117"/>
    <mergeCell ref="E116:E117"/>
    <mergeCell ref="A116:A117"/>
    <mergeCell ref="C116:C117"/>
    <mergeCell ref="D116:D117"/>
    <mergeCell ref="H142:H143"/>
    <mergeCell ref="C141:L141"/>
    <mergeCell ref="F142:F143"/>
    <mergeCell ref="B118:B121"/>
    <mergeCell ref="G122:G126"/>
    <mergeCell ref="E118:E121"/>
    <mergeCell ref="G136:G137"/>
    <mergeCell ref="B133:B137"/>
    <mergeCell ref="H122:H126"/>
    <mergeCell ref="H127:H128"/>
    <mergeCell ref="B129:B132"/>
    <mergeCell ref="D129:D132"/>
    <mergeCell ref="E129:E132"/>
    <mergeCell ref="H129:H132"/>
    <mergeCell ref="H133:H137"/>
    <mergeCell ref="H118:H121"/>
    <mergeCell ref="C118:C121"/>
    <mergeCell ref="D118:D121"/>
    <mergeCell ref="F119:F121"/>
    <mergeCell ref="A144:A146"/>
    <mergeCell ref="B144:B146"/>
    <mergeCell ref="C144:C146"/>
    <mergeCell ref="A122:A126"/>
    <mergeCell ref="B122:B126"/>
    <mergeCell ref="C122:C126"/>
    <mergeCell ref="D122:D126"/>
    <mergeCell ref="E122:E126"/>
    <mergeCell ref="F122:F126"/>
    <mergeCell ref="E144:E146"/>
    <mergeCell ref="F129:F132"/>
    <mergeCell ref="F145:F146"/>
    <mergeCell ref="E133:E137"/>
    <mergeCell ref="C129:C132"/>
    <mergeCell ref="E142:E143"/>
    <mergeCell ref="C142:C143"/>
    <mergeCell ref="D142:D143"/>
    <mergeCell ref="C138:I138"/>
    <mergeCell ref="B140:L140"/>
    <mergeCell ref="C133:C137"/>
    <mergeCell ref="H144:H146"/>
    <mergeCell ref="G142:G143"/>
    <mergeCell ref="A127:A128"/>
    <mergeCell ref="B127:B128"/>
    <mergeCell ref="H111:H113"/>
    <mergeCell ref="D95:D96"/>
    <mergeCell ref="A114:A115"/>
    <mergeCell ref="G95:G96"/>
    <mergeCell ref="B95:B96"/>
    <mergeCell ref="F99:F101"/>
    <mergeCell ref="E95:E96"/>
    <mergeCell ref="I111:I112"/>
    <mergeCell ref="H104:H106"/>
    <mergeCell ref="A97:A101"/>
    <mergeCell ref="B97:B101"/>
    <mergeCell ref="C97:C101"/>
    <mergeCell ref="D97:D101"/>
    <mergeCell ref="E97:E101"/>
    <mergeCell ref="G104:G106"/>
    <mergeCell ref="G102:G103"/>
    <mergeCell ref="G99:G101"/>
    <mergeCell ref="C102:C103"/>
    <mergeCell ref="D102:D103"/>
    <mergeCell ref="E102:E103"/>
    <mergeCell ref="A102:A103"/>
    <mergeCell ref="B102:B103"/>
    <mergeCell ref="A104:A106"/>
    <mergeCell ref="A111:A113"/>
    <mergeCell ref="A90:A94"/>
    <mergeCell ref="A95:A96"/>
    <mergeCell ref="F24:F26"/>
    <mergeCell ref="G18:G21"/>
    <mergeCell ref="E22:E23"/>
    <mergeCell ref="D24:D26"/>
    <mergeCell ref="E27:E28"/>
    <mergeCell ref="E18:E21"/>
    <mergeCell ref="D22:D23"/>
    <mergeCell ref="E24:E26"/>
    <mergeCell ref="C24:C26"/>
    <mergeCell ref="F22:F23"/>
    <mergeCell ref="G22:G23"/>
    <mergeCell ref="G27:G28"/>
    <mergeCell ref="F18:F21"/>
    <mergeCell ref="B76:B79"/>
    <mergeCell ref="C76:C79"/>
    <mergeCell ref="D76:D79"/>
    <mergeCell ref="C83:I83"/>
    <mergeCell ref="B85:L85"/>
    <mergeCell ref="E76:E79"/>
    <mergeCell ref="E80:E82"/>
    <mergeCell ref="A24:A26"/>
    <mergeCell ref="G90:G94"/>
    <mergeCell ref="A10:A12"/>
    <mergeCell ref="B10:B12"/>
    <mergeCell ref="C10:C12"/>
    <mergeCell ref="D10:D12"/>
    <mergeCell ref="A16:A17"/>
    <mergeCell ref="B16:B17"/>
    <mergeCell ref="C16:C17"/>
    <mergeCell ref="D16:D17"/>
    <mergeCell ref="A18:A21"/>
    <mergeCell ref="B18:B21"/>
    <mergeCell ref="C18:C21"/>
    <mergeCell ref="A22:A23"/>
    <mergeCell ref="C29:H29"/>
    <mergeCell ref="D18:D21"/>
    <mergeCell ref="F27:F28"/>
    <mergeCell ref="C27:C28"/>
    <mergeCell ref="H27:H28"/>
    <mergeCell ref="F90:F94"/>
    <mergeCell ref="D186:D188"/>
    <mergeCell ref="A59:A73"/>
    <mergeCell ref="A27:A28"/>
    <mergeCell ref="A31:A58"/>
    <mergeCell ref="B24:B26"/>
    <mergeCell ref="F48:F49"/>
    <mergeCell ref="G24:G26"/>
    <mergeCell ref="C74:I74"/>
    <mergeCell ref="G32:G58"/>
    <mergeCell ref="H59:H73"/>
    <mergeCell ref="F46:F47"/>
    <mergeCell ref="F50:F52"/>
    <mergeCell ref="B27:B28"/>
    <mergeCell ref="F42:F43"/>
    <mergeCell ref="A80:A82"/>
    <mergeCell ref="B80:B82"/>
    <mergeCell ref="C80:C82"/>
    <mergeCell ref="A87:A89"/>
    <mergeCell ref="B87:B89"/>
    <mergeCell ref="C87:C89"/>
    <mergeCell ref="D87:D89"/>
    <mergeCell ref="A76:A79"/>
    <mergeCell ref="F223:F225"/>
    <mergeCell ref="H233:H234"/>
    <mergeCell ref="C229:I229"/>
    <mergeCell ref="H199:H222"/>
    <mergeCell ref="F205:F207"/>
    <mergeCell ref="G223:G225"/>
    <mergeCell ref="H223:H225"/>
    <mergeCell ref="G199:G222"/>
    <mergeCell ref="F211:F213"/>
    <mergeCell ref="F233:F234"/>
    <mergeCell ref="G233:G234"/>
    <mergeCell ref="F214:F216"/>
    <mergeCell ref="B231:L231"/>
    <mergeCell ref="B199:B222"/>
    <mergeCell ref="C199:C222"/>
    <mergeCell ref="D199:D222"/>
    <mergeCell ref="E199:E222"/>
    <mergeCell ref="F202:F204"/>
    <mergeCell ref="C95:C96"/>
    <mergeCell ref="F217:F218"/>
    <mergeCell ref="E186:E188"/>
    <mergeCell ref="F186:F188"/>
    <mergeCell ref="G186:G188"/>
    <mergeCell ref="E179:E182"/>
    <mergeCell ref="F179:F182"/>
    <mergeCell ref="H10:H12"/>
    <mergeCell ref="H16:H17"/>
    <mergeCell ref="H18:H21"/>
    <mergeCell ref="H22:H23"/>
    <mergeCell ref="H24:H26"/>
    <mergeCell ref="H76:H79"/>
    <mergeCell ref="H80:H82"/>
    <mergeCell ref="F76:F79"/>
    <mergeCell ref="G76:G79"/>
    <mergeCell ref="F80:F82"/>
    <mergeCell ref="G80:G82"/>
    <mergeCell ref="H97:H101"/>
    <mergeCell ref="C86:L86"/>
    <mergeCell ref="F87:F89"/>
    <mergeCell ref="G87:G89"/>
    <mergeCell ref="E87:E89"/>
    <mergeCell ref="C90:C94"/>
    <mergeCell ref="D90:D94"/>
    <mergeCell ref="D31:D58"/>
    <mergeCell ref="C31:C58"/>
    <mergeCell ref="B31:B58"/>
    <mergeCell ref="E31:E58"/>
    <mergeCell ref="H31:H58"/>
    <mergeCell ref="D59:D73"/>
    <mergeCell ref="C59:C73"/>
    <mergeCell ref="B59:B73"/>
    <mergeCell ref="F16:F17"/>
    <mergeCell ref="E16:E17"/>
    <mergeCell ref="G16:G17"/>
    <mergeCell ref="B8:K8"/>
    <mergeCell ref="J11:J12"/>
    <mergeCell ref="B22:B23"/>
    <mergeCell ref="C22:C23"/>
    <mergeCell ref="H165:H166"/>
    <mergeCell ref="F183:F185"/>
    <mergeCell ref="G176:G178"/>
    <mergeCell ref="G171:G172"/>
    <mergeCell ref="F173:F175"/>
    <mergeCell ref="G179:G182"/>
    <mergeCell ref="I10:I12"/>
    <mergeCell ref="F102:F103"/>
    <mergeCell ref="G144:G146"/>
    <mergeCell ref="C165:C166"/>
    <mergeCell ref="G165:G166"/>
    <mergeCell ref="F160:F162"/>
    <mergeCell ref="D151:D155"/>
    <mergeCell ref="C163:I163"/>
    <mergeCell ref="B167:B168"/>
    <mergeCell ref="B156:B159"/>
    <mergeCell ref="B165:B166"/>
    <mergeCell ref="E173:E175"/>
    <mergeCell ref="C167:C168"/>
    <mergeCell ref="D80:D82"/>
    <mergeCell ref="B90:B94"/>
    <mergeCell ref="C107:I107"/>
    <mergeCell ref="B111:B113"/>
    <mergeCell ref="C111:C113"/>
    <mergeCell ref="D111:D113"/>
    <mergeCell ref="B114:B115"/>
    <mergeCell ref="H90:H94"/>
    <mergeCell ref="H87:H89"/>
    <mergeCell ref="F97:F98"/>
    <mergeCell ref="G97:G98"/>
    <mergeCell ref="H102:H103"/>
    <mergeCell ref="B109:L109"/>
    <mergeCell ref="C110:L110"/>
    <mergeCell ref="J111:J112"/>
    <mergeCell ref="B104:B106"/>
    <mergeCell ref="C104:C106"/>
    <mergeCell ref="D104:D106"/>
    <mergeCell ref="E104:E106"/>
    <mergeCell ref="F104:F106"/>
    <mergeCell ref="G111:G113"/>
    <mergeCell ref="E111:E113"/>
    <mergeCell ref="F111:F113"/>
    <mergeCell ref="F114:F115"/>
    <mergeCell ref="C114:C115"/>
    <mergeCell ref="E90:E94"/>
    <mergeCell ref="F95:F96"/>
    <mergeCell ref="C195:C198"/>
    <mergeCell ref="H183:H185"/>
    <mergeCell ref="H173:H175"/>
    <mergeCell ref="A186:A188"/>
    <mergeCell ref="B186:B188"/>
    <mergeCell ref="C186:C188"/>
    <mergeCell ref="H186:H188"/>
    <mergeCell ref="D173:D175"/>
    <mergeCell ref="H95:H96"/>
    <mergeCell ref="H195:H198"/>
    <mergeCell ref="F151:F155"/>
    <mergeCell ref="E183:E185"/>
    <mergeCell ref="G195:G198"/>
    <mergeCell ref="B193:L193"/>
    <mergeCell ref="C173:C175"/>
    <mergeCell ref="F176:F178"/>
    <mergeCell ref="G183:G185"/>
    <mergeCell ref="H169:H170"/>
    <mergeCell ref="G169:G170"/>
    <mergeCell ref="E169:E170"/>
    <mergeCell ref="B151:B155"/>
    <mergeCell ref="F171:F172"/>
    <mergeCell ref="A183:A185"/>
    <mergeCell ref="B183:B185"/>
    <mergeCell ref="C183:C185"/>
    <mergeCell ref="A179:A182"/>
    <mergeCell ref="B173:B175"/>
    <mergeCell ref="B179:B182"/>
    <mergeCell ref="C191:I191"/>
    <mergeCell ref="H179:H182"/>
    <mergeCell ref="C179:C182"/>
    <mergeCell ref="I3:L3"/>
    <mergeCell ref="A189:A190"/>
    <mergeCell ref="B189:B190"/>
    <mergeCell ref="C189:C190"/>
    <mergeCell ref="D189:D190"/>
    <mergeCell ref="E189:E190"/>
    <mergeCell ref="F189:F190"/>
    <mergeCell ref="G189:G190"/>
    <mergeCell ref="H189:H190"/>
    <mergeCell ref="L11:L12"/>
    <mergeCell ref="E59:E73"/>
    <mergeCell ref="D27:D28"/>
    <mergeCell ref="C75:L75"/>
    <mergeCell ref="K11:K12"/>
    <mergeCell ref="F32:F33"/>
    <mergeCell ref="G156:G159"/>
    <mergeCell ref="H151:H155"/>
    <mergeCell ref="H160:H162"/>
    <mergeCell ref="G151:G155"/>
    <mergeCell ref="C156:C159"/>
    <mergeCell ref="D156:D159"/>
    <mergeCell ref="E156:E159"/>
    <mergeCell ref="G133:G135"/>
    <mergeCell ref="G10:G12"/>
    <mergeCell ref="A243:A251"/>
    <mergeCell ref="B243:B251"/>
    <mergeCell ref="C243:C251"/>
    <mergeCell ref="D243:D251"/>
    <mergeCell ref="E243:E251"/>
    <mergeCell ref="G243:G251"/>
    <mergeCell ref="H243:H251"/>
    <mergeCell ref="I4:L4"/>
    <mergeCell ref="E10:E12"/>
    <mergeCell ref="F10:F12"/>
    <mergeCell ref="F55:F58"/>
    <mergeCell ref="F72:F73"/>
    <mergeCell ref="G59:G73"/>
    <mergeCell ref="F53:F54"/>
    <mergeCell ref="F38:F39"/>
    <mergeCell ref="F40:F41"/>
    <mergeCell ref="F44:F45"/>
    <mergeCell ref="A195:A198"/>
    <mergeCell ref="D171:D172"/>
    <mergeCell ref="B171:B172"/>
    <mergeCell ref="D195:D198"/>
    <mergeCell ref="A176:A178"/>
    <mergeCell ref="B176:B178"/>
    <mergeCell ref="B195:B198"/>
  </mergeCells>
  <phoneticPr fontId="40" type="noConversion"/>
  <pageMargins left="0.70866141732283472" right="0.70866141732283472" top="0.74803149606299213" bottom="0.74803149606299213" header="0.31496062992125984" footer="0.31496062992125984"/>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41"/>
  <sheetViews>
    <sheetView zoomScale="80" zoomScaleNormal="80" workbookViewId="0">
      <pane ySplit="12" topLeftCell="A13" activePane="bottomLeft" state="frozen"/>
      <selection pane="bottomLeft" activeCell="I4" sqref="I4:L4"/>
    </sheetView>
  </sheetViews>
  <sheetFormatPr defaultColWidth="9.109375" defaultRowHeight="14.4" x14ac:dyDescent="0.3"/>
  <cols>
    <col min="1" max="1" width="5.5546875" style="19" customWidth="1"/>
    <col min="2" max="2" width="5.44140625" style="19" customWidth="1"/>
    <col min="3" max="3" width="5.109375" style="19" customWidth="1"/>
    <col min="4" max="4" width="18.33203125" style="19" customWidth="1"/>
    <col min="5" max="5" width="5.5546875" style="19" customWidth="1"/>
    <col min="6" max="6" width="18.88671875" style="19" customWidth="1"/>
    <col min="7" max="7" width="14.5546875" style="19" customWidth="1"/>
    <col min="8" max="8" width="12.6640625" style="19" customWidth="1"/>
    <col min="9" max="9" width="8.88671875" style="19" customWidth="1"/>
    <col min="10" max="12" width="9.109375" style="19"/>
    <col min="13" max="16384" width="9.109375" style="524"/>
  </cols>
  <sheetData>
    <row r="1" spans="1:12" ht="37.5" customHeight="1" x14ac:dyDescent="0.3">
      <c r="A1" s="327"/>
      <c r="B1" s="327"/>
      <c r="C1" s="327"/>
      <c r="D1" s="327"/>
      <c r="E1" s="327"/>
      <c r="F1" s="327"/>
      <c r="G1" s="327"/>
      <c r="H1" s="327"/>
      <c r="I1" s="1521" t="s">
        <v>502</v>
      </c>
      <c r="J1" s="1521"/>
      <c r="K1" s="1521"/>
      <c r="L1" s="1521"/>
    </row>
    <row r="2" spans="1:12" ht="35.25" hidden="1" customHeight="1" x14ac:dyDescent="0.3">
      <c r="A2" s="327"/>
      <c r="B2" s="1403"/>
      <c r="C2" s="1403"/>
      <c r="D2" s="1403"/>
      <c r="E2" s="1403"/>
      <c r="F2" s="1403"/>
      <c r="G2" s="1403"/>
      <c r="H2" s="1403"/>
      <c r="I2" s="1529" t="s">
        <v>513</v>
      </c>
      <c r="J2" s="1529"/>
      <c r="K2" s="1529"/>
      <c r="L2" s="1529"/>
    </row>
    <row r="3" spans="1:12" ht="45" hidden="1" customHeight="1" x14ac:dyDescent="0.3">
      <c r="A3" s="327"/>
      <c r="B3" s="1403"/>
      <c r="C3" s="1403"/>
      <c r="D3" s="1403"/>
      <c r="E3" s="1403"/>
      <c r="F3" s="1403"/>
      <c r="G3" s="1403"/>
      <c r="H3" s="1403"/>
      <c r="I3" s="1529" t="s">
        <v>511</v>
      </c>
      <c r="J3" s="1529"/>
      <c r="K3" s="1529"/>
      <c r="L3" s="1529"/>
    </row>
    <row r="4" spans="1:12" ht="45" customHeight="1" x14ac:dyDescent="0.3">
      <c r="A4" s="327"/>
      <c r="B4" s="1403"/>
      <c r="C4" s="1403"/>
      <c r="D4" s="1403"/>
      <c r="E4" s="1403"/>
      <c r="F4" s="1403"/>
      <c r="G4" s="1403"/>
      <c r="H4" s="1403"/>
      <c r="I4" s="1529" t="s">
        <v>517</v>
      </c>
      <c r="J4" s="1529"/>
      <c r="K4" s="1529"/>
      <c r="L4" s="1529"/>
    </row>
    <row r="5" spans="1:12" x14ac:dyDescent="0.3">
      <c r="A5" s="327"/>
      <c r="B5" s="1403"/>
      <c r="C5" s="1403"/>
      <c r="D5" s="1403"/>
      <c r="E5" s="1403"/>
      <c r="F5" s="1403"/>
      <c r="G5" s="1403"/>
      <c r="H5" s="1403"/>
      <c r="I5" s="1403"/>
      <c r="J5" s="1403"/>
      <c r="K5" s="1403"/>
    </row>
    <row r="6" spans="1:12" ht="45" customHeight="1" x14ac:dyDescent="0.3">
      <c r="A6" s="327"/>
      <c r="B6" s="1403"/>
      <c r="C6" s="1403"/>
      <c r="D6" s="1403"/>
      <c r="E6" s="1403"/>
      <c r="F6" s="1403"/>
      <c r="G6" s="1403"/>
      <c r="H6" s="1403"/>
      <c r="I6" s="1521" t="s">
        <v>503</v>
      </c>
      <c r="J6" s="1521"/>
      <c r="K6" s="1521"/>
      <c r="L6" s="1521"/>
    </row>
    <row r="7" spans="1:12" x14ac:dyDescent="0.3">
      <c r="A7" s="327"/>
      <c r="B7" s="1403"/>
      <c r="C7" s="1403"/>
      <c r="D7" s="1403"/>
      <c r="E7" s="1403"/>
      <c r="F7" s="1403"/>
      <c r="G7" s="1403"/>
      <c r="H7" s="1403"/>
      <c r="I7" s="1403"/>
      <c r="J7" s="1403"/>
      <c r="K7" s="1403"/>
    </row>
    <row r="8" spans="1:12" ht="32.25" customHeight="1" x14ac:dyDescent="0.3">
      <c r="A8" s="327"/>
      <c r="B8" s="1729" t="s">
        <v>315</v>
      </c>
      <c r="C8" s="1729"/>
      <c r="D8" s="1729"/>
      <c r="E8" s="1729"/>
      <c r="F8" s="1729"/>
      <c r="G8" s="1729"/>
      <c r="H8" s="1729"/>
      <c r="I8" s="1729"/>
      <c r="J8" s="1729"/>
      <c r="K8" s="1729"/>
    </row>
    <row r="9" spans="1:12" x14ac:dyDescent="0.3">
      <c r="A9" s="327"/>
      <c r="B9" s="328"/>
      <c r="C9" s="328"/>
      <c r="D9" s="328"/>
      <c r="E9" s="328"/>
      <c r="F9" s="328"/>
      <c r="G9" s="328"/>
      <c r="H9" s="328"/>
      <c r="I9" s="328"/>
      <c r="J9" s="329"/>
      <c r="K9" s="329"/>
    </row>
    <row r="10" spans="1:12" ht="22.8" x14ac:dyDescent="0.3">
      <c r="A10" s="2830" t="s">
        <v>1</v>
      </c>
      <c r="B10" s="2832" t="s">
        <v>2</v>
      </c>
      <c r="C10" s="2832" t="s">
        <v>3</v>
      </c>
      <c r="D10" s="1745" t="s">
        <v>4</v>
      </c>
      <c r="E10" s="1518" t="s">
        <v>5</v>
      </c>
      <c r="F10" s="1518" t="s">
        <v>6</v>
      </c>
      <c r="G10" s="1518" t="s">
        <v>7</v>
      </c>
      <c r="H10" s="1518" t="s">
        <v>8</v>
      </c>
      <c r="I10" s="1518" t="s">
        <v>9</v>
      </c>
      <c r="J10" s="199" t="s">
        <v>10</v>
      </c>
      <c r="K10" s="199" t="s">
        <v>11</v>
      </c>
      <c r="L10" s="24" t="s">
        <v>12</v>
      </c>
    </row>
    <row r="11" spans="1:12" x14ac:dyDescent="0.3">
      <c r="A11" s="2831"/>
      <c r="B11" s="2833"/>
      <c r="C11" s="2833"/>
      <c r="D11" s="1746"/>
      <c r="E11" s="1519"/>
      <c r="F11" s="1519"/>
      <c r="G11" s="1519"/>
      <c r="H11" s="1519"/>
      <c r="I11" s="1519"/>
      <c r="J11" s="2255" t="s">
        <v>13</v>
      </c>
      <c r="K11" s="2255" t="s">
        <v>13</v>
      </c>
      <c r="L11" s="2244" t="s">
        <v>13</v>
      </c>
    </row>
    <row r="12" spans="1:12" ht="51" customHeight="1" thickBot="1" x14ac:dyDescent="0.35">
      <c r="A12" s="2831"/>
      <c r="B12" s="2833"/>
      <c r="C12" s="2833"/>
      <c r="D12" s="1746"/>
      <c r="E12" s="1519"/>
      <c r="F12" s="1519"/>
      <c r="G12" s="1519"/>
      <c r="H12" s="1520"/>
      <c r="I12" s="1519"/>
      <c r="J12" s="2256"/>
      <c r="K12" s="2256"/>
      <c r="L12" s="2245"/>
    </row>
    <row r="13" spans="1:12" ht="15.75" customHeight="1" thickBot="1" x14ac:dyDescent="0.35">
      <c r="A13" s="330" t="s">
        <v>316</v>
      </c>
      <c r="B13" s="331"/>
      <c r="C13" s="331"/>
      <c r="D13" s="331"/>
      <c r="E13" s="331"/>
      <c r="F13" s="331"/>
      <c r="G13" s="331"/>
      <c r="H13" s="331"/>
      <c r="I13" s="331"/>
      <c r="J13" s="331"/>
      <c r="K13" s="331"/>
      <c r="L13" s="332"/>
    </row>
    <row r="14" spans="1:12" ht="15.75" customHeight="1" thickBot="1" x14ac:dyDescent="0.35">
      <c r="A14" s="333" t="s">
        <v>15</v>
      </c>
      <c r="B14" s="334" t="s">
        <v>317</v>
      </c>
      <c r="C14" s="335"/>
      <c r="D14" s="335"/>
      <c r="E14" s="335"/>
      <c r="F14" s="335"/>
      <c r="G14" s="335"/>
      <c r="H14" s="335"/>
      <c r="I14" s="335"/>
      <c r="J14" s="335"/>
      <c r="K14" s="335"/>
      <c r="L14" s="336"/>
    </row>
    <row r="15" spans="1:12" ht="15.75" customHeight="1" x14ac:dyDescent="0.3">
      <c r="A15" s="337" t="s">
        <v>15</v>
      </c>
      <c r="B15" s="338" t="s">
        <v>15</v>
      </c>
      <c r="C15" s="339" t="s">
        <v>318</v>
      </c>
      <c r="D15" s="340"/>
      <c r="E15" s="340"/>
      <c r="F15" s="340"/>
      <c r="G15" s="340"/>
      <c r="H15" s="340"/>
      <c r="I15" s="340"/>
      <c r="J15" s="340"/>
      <c r="K15" s="340"/>
      <c r="L15" s="341"/>
    </row>
    <row r="16" spans="1:12" x14ac:dyDescent="0.3">
      <c r="A16" s="2813" t="s">
        <v>15</v>
      </c>
      <c r="B16" s="2849" t="s">
        <v>15</v>
      </c>
      <c r="C16" s="2858" t="s">
        <v>15</v>
      </c>
      <c r="D16" s="2859" t="s">
        <v>319</v>
      </c>
      <c r="E16" s="2845" t="s">
        <v>19</v>
      </c>
      <c r="F16" s="2860" t="s">
        <v>20</v>
      </c>
      <c r="G16" s="2855" t="s">
        <v>98</v>
      </c>
      <c r="H16" s="2848" t="s">
        <v>320</v>
      </c>
      <c r="I16" s="643" t="s">
        <v>23</v>
      </c>
      <c r="J16" s="644">
        <v>60</v>
      </c>
      <c r="K16" s="644">
        <v>0</v>
      </c>
      <c r="L16" s="645">
        <v>0</v>
      </c>
    </row>
    <row r="17" spans="1:14" x14ac:dyDescent="0.3">
      <c r="A17" s="2813"/>
      <c r="B17" s="2849"/>
      <c r="C17" s="2858"/>
      <c r="D17" s="2859"/>
      <c r="E17" s="2845"/>
      <c r="F17" s="2860"/>
      <c r="G17" s="2855"/>
      <c r="H17" s="2848"/>
      <c r="I17" s="643" t="s">
        <v>284</v>
      </c>
      <c r="J17" s="644">
        <f>46-4.6-40</f>
        <v>1.3999999999999986</v>
      </c>
      <c r="K17" s="644">
        <v>46</v>
      </c>
      <c r="L17" s="645">
        <v>46</v>
      </c>
    </row>
    <row r="18" spans="1:14" x14ac:dyDescent="0.3">
      <c r="A18" s="2813"/>
      <c r="B18" s="2849"/>
      <c r="C18" s="2858"/>
      <c r="D18" s="2765"/>
      <c r="E18" s="2845"/>
      <c r="F18" s="2860"/>
      <c r="G18" s="2855"/>
      <c r="H18" s="2848"/>
      <c r="I18" s="643" t="s">
        <v>30</v>
      </c>
      <c r="J18" s="644">
        <v>4.5999999999999996</v>
      </c>
      <c r="K18" s="644">
        <v>0</v>
      </c>
      <c r="L18" s="645">
        <v>0</v>
      </c>
      <c r="N18" s="526"/>
    </row>
    <row r="19" spans="1:14" ht="19.5" customHeight="1" x14ac:dyDescent="0.3">
      <c r="A19" s="2813"/>
      <c r="B19" s="2849"/>
      <c r="C19" s="2858"/>
      <c r="D19" s="2765"/>
      <c r="E19" s="2846"/>
      <c r="F19" s="2861"/>
      <c r="G19" s="2856"/>
      <c r="H19" s="2822"/>
      <c r="I19" s="792" t="s">
        <v>24</v>
      </c>
      <c r="J19" s="652">
        <f>SUM(J16:J18)</f>
        <v>66</v>
      </c>
      <c r="K19" s="652">
        <f>SUM(K16:K18)</f>
        <v>46</v>
      </c>
      <c r="L19" s="653">
        <f>SUM(L16:L18)</f>
        <v>46</v>
      </c>
    </row>
    <row r="20" spans="1:14" ht="15" customHeight="1" x14ac:dyDescent="0.3">
      <c r="A20" s="2813" t="s">
        <v>15</v>
      </c>
      <c r="B20" s="2849" t="s">
        <v>15</v>
      </c>
      <c r="C20" s="2851" t="s">
        <v>25</v>
      </c>
      <c r="D20" s="2853" t="s">
        <v>321</v>
      </c>
      <c r="E20" s="2687" t="s">
        <v>19</v>
      </c>
      <c r="F20" s="2778" t="s">
        <v>20</v>
      </c>
      <c r="G20" s="2857" t="s">
        <v>98</v>
      </c>
      <c r="H20" s="2677" t="s">
        <v>320</v>
      </c>
      <c r="I20" s="779" t="s">
        <v>23</v>
      </c>
      <c r="J20" s="904">
        <f>20+15.5+19.6+8</f>
        <v>63.1</v>
      </c>
      <c r="K20" s="1258">
        <v>20</v>
      </c>
      <c r="L20" s="1255">
        <v>20</v>
      </c>
    </row>
    <row r="21" spans="1:14" x14ac:dyDescent="0.3">
      <c r="A21" s="2813"/>
      <c r="B21" s="2849"/>
      <c r="C21" s="2851"/>
      <c r="D21" s="2853"/>
      <c r="E21" s="2688"/>
      <c r="F21" s="2862"/>
      <c r="G21" s="2855"/>
      <c r="H21" s="2678"/>
      <c r="I21" s="780" t="s">
        <v>284</v>
      </c>
      <c r="J21" s="854">
        <f>5+11+4.6</f>
        <v>20.6</v>
      </c>
      <c r="K21" s="1259">
        <v>5</v>
      </c>
      <c r="L21" s="1256">
        <v>5</v>
      </c>
    </row>
    <row r="22" spans="1:14" x14ac:dyDescent="0.3">
      <c r="A22" s="2813"/>
      <c r="B22" s="2849"/>
      <c r="C22" s="2851"/>
      <c r="D22" s="2853"/>
      <c r="E22" s="2688"/>
      <c r="F22" s="2862"/>
      <c r="G22" s="2855"/>
      <c r="H22" s="2678"/>
      <c r="I22" s="793" t="s">
        <v>30</v>
      </c>
      <c r="J22" s="905">
        <v>0</v>
      </c>
      <c r="K22" s="1260">
        <v>0</v>
      </c>
      <c r="L22" s="1256">
        <v>0</v>
      </c>
    </row>
    <row r="23" spans="1:14" ht="25.5" customHeight="1" thickBot="1" x14ac:dyDescent="0.35">
      <c r="A23" s="2814"/>
      <c r="B23" s="2850"/>
      <c r="C23" s="2852"/>
      <c r="D23" s="2854"/>
      <c r="E23" s="2688"/>
      <c r="F23" s="2862"/>
      <c r="G23" s="2855"/>
      <c r="H23" s="2678"/>
      <c r="I23" s="663" t="s">
        <v>24</v>
      </c>
      <c r="J23" s="664">
        <f>J20+J21+J22</f>
        <v>83.7</v>
      </c>
      <c r="K23" s="1261">
        <f>SUM(K21:K22)</f>
        <v>5</v>
      </c>
      <c r="L23" s="1257">
        <f>SUM(L21:L22)</f>
        <v>5</v>
      </c>
    </row>
    <row r="24" spans="1:14" ht="14.4" hidden="1" customHeight="1" x14ac:dyDescent="0.3">
      <c r="A24" s="2679" t="s">
        <v>15</v>
      </c>
      <c r="B24" s="2681" t="s">
        <v>15</v>
      </c>
      <c r="C24" s="2683" t="s">
        <v>27</v>
      </c>
      <c r="D24" s="2685" t="s">
        <v>322</v>
      </c>
      <c r="E24" s="2687" t="s">
        <v>177</v>
      </c>
      <c r="F24" s="2293" t="s">
        <v>20</v>
      </c>
      <c r="G24" s="2293" t="s">
        <v>178</v>
      </c>
      <c r="H24" s="2677" t="s">
        <v>323</v>
      </c>
      <c r="I24" s="779" t="s">
        <v>23</v>
      </c>
      <c r="J24" s="906"/>
      <c r="K24" s="906"/>
      <c r="L24" s="912"/>
    </row>
    <row r="25" spans="1:14" ht="14.4" hidden="1" customHeight="1" x14ac:dyDescent="0.3">
      <c r="A25" s="2680"/>
      <c r="B25" s="2682"/>
      <c r="C25" s="2684"/>
      <c r="D25" s="2686"/>
      <c r="E25" s="2688"/>
      <c r="F25" s="2294"/>
      <c r="G25" s="2294"/>
      <c r="H25" s="2678"/>
      <c r="I25" s="780" t="s">
        <v>324</v>
      </c>
      <c r="J25" s="651"/>
      <c r="K25" s="651"/>
      <c r="L25" s="651"/>
    </row>
    <row r="26" spans="1:14" ht="22.5" hidden="1" customHeight="1" x14ac:dyDescent="0.3">
      <c r="A26" s="2680"/>
      <c r="B26" s="2682"/>
      <c r="C26" s="2684"/>
      <c r="D26" s="2686"/>
      <c r="E26" s="2688"/>
      <c r="F26" s="2294"/>
      <c r="G26" s="2294"/>
      <c r="H26" s="2678"/>
      <c r="I26" s="780" t="s">
        <v>180</v>
      </c>
      <c r="J26" s="651"/>
      <c r="K26" s="651"/>
      <c r="L26" s="651"/>
    </row>
    <row r="27" spans="1:14" ht="22.5" hidden="1" customHeight="1" thickBot="1" x14ac:dyDescent="0.35">
      <c r="A27" s="2680"/>
      <c r="B27" s="2682"/>
      <c r="C27" s="2684"/>
      <c r="D27" s="2686"/>
      <c r="E27" s="2688"/>
      <c r="F27" s="2294"/>
      <c r="G27" s="2294"/>
      <c r="H27" s="2678"/>
      <c r="I27" s="781" t="s">
        <v>87</v>
      </c>
      <c r="J27" s="678"/>
      <c r="K27" s="678"/>
      <c r="L27" s="678"/>
    </row>
    <row r="28" spans="1:14" ht="26.25" hidden="1" customHeight="1" thickBot="1" x14ac:dyDescent="0.35">
      <c r="A28" s="2680"/>
      <c r="B28" s="2682"/>
      <c r="C28" s="2684"/>
      <c r="D28" s="2686"/>
      <c r="E28" s="2688"/>
      <c r="F28" s="2294"/>
      <c r="G28" s="2294"/>
      <c r="H28" s="2678"/>
      <c r="I28" s="1041" t="s">
        <v>24</v>
      </c>
      <c r="J28" s="1042">
        <f>SUM(J24:J26)</f>
        <v>0</v>
      </c>
      <c r="K28" s="1042">
        <f t="shared" ref="K28:L28" si="0">SUM(K26)</f>
        <v>0</v>
      </c>
      <c r="L28" s="1042">
        <f t="shared" si="0"/>
        <v>0</v>
      </c>
    </row>
    <row r="29" spans="1:14" ht="26.25" customHeight="1" x14ac:dyDescent="0.3">
      <c r="A29" s="2689" t="s">
        <v>15</v>
      </c>
      <c r="B29" s="2695" t="s">
        <v>15</v>
      </c>
      <c r="C29" s="2696" t="s">
        <v>31</v>
      </c>
      <c r="D29" s="2699" t="s">
        <v>325</v>
      </c>
      <c r="E29" s="2700" t="s">
        <v>498</v>
      </c>
      <c r="F29" s="2360" t="s">
        <v>20</v>
      </c>
      <c r="G29" s="2360" t="s">
        <v>178</v>
      </c>
      <c r="H29" s="2692" t="s">
        <v>323</v>
      </c>
      <c r="I29" s="1061" t="s">
        <v>23</v>
      </c>
      <c r="J29" s="1064">
        <f>35.3+36.7</f>
        <v>72</v>
      </c>
      <c r="K29" s="1064">
        <v>29.3</v>
      </c>
      <c r="L29" s="1058">
        <v>53</v>
      </c>
    </row>
    <row r="30" spans="1:14" ht="20.25" customHeight="1" x14ac:dyDescent="0.3">
      <c r="A30" s="2690"/>
      <c r="B30" s="2668"/>
      <c r="C30" s="2697"/>
      <c r="D30" s="2672"/>
      <c r="E30" s="2701"/>
      <c r="F30" s="2361"/>
      <c r="G30" s="2361"/>
      <c r="H30" s="2693"/>
      <c r="I30" s="1062" t="s">
        <v>284</v>
      </c>
      <c r="J30" s="1065">
        <f>34+40</f>
        <v>74</v>
      </c>
      <c r="K30" s="1065">
        <v>0</v>
      </c>
      <c r="L30" s="1059">
        <v>0</v>
      </c>
    </row>
    <row r="31" spans="1:14" ht="21.75" customHeight="1" x14ac:dyDescent="0.3">
      <c r="A31" s="2690"/>
      <c r="B31" s="2668"/>
      <c r="C31" s="2697"/>
      <c r="D31" s="2672"/>
      <c r="E31" s="2701"/>
      <c r="F31" s="2361"/>
      <c r="G31" s="2361"/>
      <c r="H31" s="2693"/>
      <c r="I31" s="1063" t="s">
        <v>180</v>
      </c>
      <c r="J31" s="1066">
        <v>0</v>
      </c>
      <c r="K31" s="1066">
        <v>366</v>
      </c>
      <c r="L31" s="1060">
        <v>300</v>
      </c>
    </row>
    <row r="32" spans="1:14" ht="24" customHeight="1" x14ac:dyDescent="0.3">
      <c r="A32" s="2691"/>
      <c r="B32" s="2669"/>
      <c r="C32" s="2698"/>
      <c r="D32" s="2673"/>
      <c r="E32" s="2702"/>
      <c r="F32" s="2362"/>
      <c r="G32" s="2362"/>
      <c r="H32" s="2694"/>
      <c r="I32" s="1057" t="s">
        <v>24</v>
      </c>
      <c r="J32" s="815">
        <f>J29+J30+J31</f>
        <v>146</v>
      </c>
      <c r="K32" s="1055">
        <f>SUM(K29:K31)</f>
        <v>395.3</v>
      </c>
      <c r="L32" s="1056">
        <f>SUM(L29:M31)</f>
        <v>353</v>
      </c>
    </row>
    <row r="33" spans="1:12" ht="33" customHeight="1" x14ac:dyDescent="0.3">
      <c r="A33" s="2666" t="s">
        <v>15</v>
      </c>
      <c r="B33" s="2668" t="s">
        <v>15</v>
      </c>
      <c r="C33" s="2670" t="s">
        <v>33</v>
      </c>
      <c r="D33" s="2672" t="s">
        <v>326</v>
      </c>
      <c r="E33" s="2674" t="s">
        <v>498</v>
      </c>
      <c r="F33" s="2676" t="s">
        <v>20</v>
      </c>
      <c r="G33" s="2676" t="s">
        <v>327</v>
      </c>
      <c r="H33" s="2708" t="s">
        <v>323</v>
      </c>
      <c r="I33" s="649" t="s">
        <v>23</v>
      </c>
      <c r="J33" s="853">
        <v>0</v>
      </c>
      <c r="K33" s="853">
        <v>106</v>
      </c>
      <c r="L33" s="1054">
        <v>91.5</v>
      </c>
    </row>
    <row r="34" spans="1:12" ht="24" customHeight="1" x14ac:dyDescent="0.3">
      <c r="A34" s="2666"/>
      <c r="B34" s="2668"/>
      <c r="C34" s="2670"/>
      <c r="D34" s="2672"/>
      <c r="E34" s="2674"/>
      <c r="F34" s="2676"/>
      <c r="G34" s="2676"/>
      <c r="H34" s="2708"/>
      <c r="I34" s="1067" t="s">
        <v>180</v>
      </c>
      <c r="J34" s="1068">
        <v>0</v>
      </c>
      <c r="K34" s="1068">
        <v>600</v>
      </c>
      <c r="L34" s="1069">
        <v>518.4</v>
      </c>
    </row>
    <row r="35" spans="1:12" ht="27.75" customHeight="1" x14ac:dyDescent="0.3">
      <c r="A35" s="2667"/>
      <c r="B35" s="2669"/>
      <c r="C35" s="2671"/>
      <c r="D35" s="2673"/>
      <c r="E35" s="2675"/>
      <c r="F35" s="2526"/>
      <c r="G35" s="2526"/>
      <c r="H35" s="2694"/>
      <c r="I35" s="654" t="s">
        <v>24</v>
      </c>
      <c r="J35" s="647">
        <f>SUM(J33:J33)</f>
        <v>0</v>
      </c>
      <c r="K35" s="647">
        <f>SUM(K33:K33)</f>
        <v>106</v>
      </c>
      <c r="L35" s="648">
        <f>SUM(L33:L33)</f>
        <v>91.5</v>
      </c>
    </row>
    <row r="36" spans="1:12" x14ac:dyDescent="0.3">
      <c r="A36" s="346" t="s">
        <v>15</v>
      </c>
      <c r="B36" s="338" t="s">
        <v>15</v>
      </c>
      <c r="C36" s="2724" t="s">
        <v>80</v>
      </c>
      <c r="D36" s="2725"/>
      <c r="E36" s="2725"/>
      <c r="F36" s="2725"/>
      <c r="G36" s="2725"/>
      <c r="H36" s="2725"/>
      <c r="I36" s="2726"/>
      <c r="J36" s="347">
        <f>J19+J23+J28+J32+J35</f>
        <v>295.7</v>
      </c>
      <c r="K36" s="347">
        <f>K19+K23+K28+K32+K35</f>
        <v>552.29999999999995</v>
      </c>
      <c r="L36" s="348">
        <f>L19+L23+L28+L32+L35</f>
        <v>495.5</v>
      </c>
    </row>
    <row r="37" spans="1:12" ht="15" thickBot="1" x14ac:dyDescent="0.35">
      <c r="A37" s="342" t="s">
        <v>15</v>
      </c>
      <c r="B37" s="349" t="s">
        <v>25</v>
      </c>
      <c r="C37" s="339" t="s">
        <v>328</v>
      </c>
      <c r="D37" s="340"/>
      <c r="E37" s="340"/>
      <c r="F37" s="340"/>
      <c r="G37" s="340"/>
      <c r="H37" s="340"/>
      <c r="I37" s="340"/>
      <c r="J37" s="340"/>
      <c r="K37" s="340"/>
      <c r="L37" s="350"/>
    </row>
    <row r="38" spans="1:12" ht="15" thickBot="1" x14ac:dyDescent="0.35">
      <c r="A38" s="2864" t="s">
        <v>15</v>
      </c>
      <c r="B38" s="2884" t="s">
        <v>25</v>
      </c>
      <c r="C38" s="2829" t="s">
        <v>15</v>
      </c>
      <c r="D38" s="2887" t="s">
        <v>329</v>
      </c>
      <c r="E38" s="2721" t="s">
        <v>19</v>
      </c>
      <c r="F38" s="2717" t="s">
        <v>20</v>
      </c>
      <c r="G38" s="2719" t="s">
        <v>98</v>
      </c>
      <c r="H38" s="2815" t="s">
        <v>330</v>
      </c>
      <c r="I38" s="658" t="s">
        <v>23</v>
      </c>
      <c r="J38" s="907">
        <f>0+8-8</f>
        <v>0</v>
      </c>
      <c r="K38" s="908">
        <v>0</v>
      </c>
      <c r="L38" s="909">
        <v>0</v>
      </c>
    </row>
    <row r="39" spans="1:12" ht="15" thickBot="1" x14ac:dyDescent="0.35">
      <c r="A39" s="2864"/>
      <c r="B39" s="2884"/>
      <c r="C39" s="2829"/>
      <c r="D39" s="2887"/>
      <c r="E39" s="2721"/>
      <c r="F39" s="2718"/>
      <c r="G39" s="2720"/>
      <c r="H39" s="2815"/>
      <c r="I39" s="656" t="s">
        <v>284</v>
      </c>
      <c r="J39" s="907">
        <f>21+17.6-5.4</f>
        <v>33.200000000000003</v>
      </c>
      <c r="K39" s="908">
        <v>21</v>
      </c>
      <c r="L39" s="909">
        <v>21</v>
      </c>
    </row>
    <row r="40" spans="1:12" ht="15" thickBot="1" x14ac:dyDescent="0.35">
      <c r="A40" s="2864"/>
      <c r="B40" s="2884"/>
      <c r="C40" s="2829"/>
      <c r="D40" s="2887"/>
      <c r="E40" s="2721"/>
      <c r="F40" s="2718"/>
      <c r="G40" s="2720"/>
      <c r="H40" s="2815"/>
      <c r="I40" s="781" t="s">
        <v>54</v>
      </c>
      <c r="J40" s="913">
        <f>0+5.7-5.7</f>
        <v>0</v>
      </c>
      <c r="K40" s="1455">
        <v>0</v>
      </c>
      <c r="L40" s="1456">
        <v>0</v>
      </c>
    </row>
    <row r="41" spans="1:12" ht="15" thickBot="1" x14ac:dyDescent="0.35">
      <c r="A41" s="2864"/>
      <c r="B41" s="2884"/>
      <c r="C41" s="2885"/>
      <c r="D41" s="2706"/>
      <c r="E41" s="2721"/>
      <c r="F41" s="2718"/>
      <c r="G41" s="2720"/>
      <c r="H41" s="2815"/>
      <c r="I41" s="1101" t="s">
        <v>30</v>
      </c>
      <c r="J41" s="1309">
        <v>17.899999999999999</v>
      </c>
      <c r="K41" s="1102">
        <v>0</v>
      </c>
      <c r="L41" s="1103">
        <v>0</v>
      </c>
    </row>
    <row r="42" spans="1:12" x14ac:dyDescent="0.3">
      <c r="A42" s="2865"/>
      <c r="B42" s="2746"/>
      <c r="C42" s="2886"/>
      <c r="D42" s="2707"/>
      <c r="E42" s="2721"/>
      <c r="F42" s="2718"/>
      <c r="G42" s="2720"/>
      <c r="H42" s="2783"/>
      <c r="I42" s="657" t="s">
        <v>24</v>
      </c>
      <c r="J42" s="647">
        <f>J38+J39+J41+J40</f>
        <v>51.1</v>
      </c>
      <c r="K42" s="647">
        <f t="shared" ref="K42:L42" si="1">SUM(K38:K41)</f>
        <v>21</v>
      </c>
      <c r="L42" s="648">
        <f t="shared" si="1"/>
        <v>21</v>
      </c>
    </row>
    <row r="43" spans="1:12" x14ac:dyDescent="0.3">
      <c r="A43" s="2876" t="s">
        <v>15</v>
      </c>
      <c r="B43" s="2711" t="s">
        <v>25</v>
      </c>
      <c r="C43" s="2713" t="s">
        <v>25</v>
      </c>
      <c r="D43" s="2715" t="s">
        <v>331</v>
      </c>
      <c r="E43" s="2722" t="s">
        <v>19</v>
      </c>
      <c r="F43" s="2709" t="s">
        <v>20</v>
      </c>
      <c r="G43" s="2709" t="s">
        <v>98</v>
      </c>
      <c r="H43" s="2816" t="s">
        <v>332</v>
      </c>
      <c r="I43" s="658" t="s">
        <v>23</v>
      </c>
      <c r="J43" s="644">
        <f>40-5</f>
        <v>35</v>
      </c>
      <c r="K43" s="644">
        <v>40</v>
      </c>
      <c r="L43" s="645">
        <v>40</v>
      </c>
    </row>
    <row r="44" spans="1:12" x14ac:dyDescent="0.3">
      <c r="A44" s="2826"/>
      <c r="B44" s="2712"/>
      <c r="C44" s="2714"/>
      <c r="D44" s="2716"/>
      <c r="E44" s="2723"/>
      <c r="F44" s="2710"/>
      <c r="G44" s="2710"/>
      <c r="H44" s="2817"/>
      <c r="I44" s="1104" t="s">
        <v>284</v>
      </c>
      <c r="J44" s="659">
        <v>0</v>
      </c>
      <c r="K44" s="659">
        <v>0</v>
      </c>
      <c r="L44" s="660">
        <v>0</v>
      </c>
    </row>
    <row r="45" spans="1:12" ht="18.75" customHeight="1" x14ac:dyDescent="0.3">
      <c r="A45" s="2826"/>
      <c r="B45" s="2712"/>
      <c r="C45" s="2714"/>
      <c r="D45" s="2716"/>
      <c r="E45" s="2723"/>
      <c r="F45" s="2710"/>
      <c r="G45" s="2710"/>
      <c r="H45" s="2817"/>
      <c r="I45" s="1104" t="s">
        <v>30</v>
      </c>
      <c r="J45" s="659">
        <v>22.1</v>
      </c>
      <c r="K45" s="659">
        <v>0</v>
      </c>
      <c r="L45" s="660">
        <v>0</v>
      </c>
    </row>
    <row r="46" spans="1:12" ht="34.5" customHeight="1" x14ac:dyDescent="0.3">
      <c r="A46" s="2666"/>
      <c r="B46" s="2668"/>
      <c r="C46" s="2714"/>
      <c r="D46" s="2716"/>
      <c r="E46" s="2723"/>
      <c r="F46" s="2710"/>
      <c r="G46" s="2710"/>
      <c r="H46" s="2818"/>
      <c r="I46" s="661" t="s">
        <v>24</v>
      </c>
      <c r="J46" s="652">
        <f>SUM(J43:J45)</f>
        <v>57.1</v>
      </c>
      <c r="K46" s="652">
        <f t="shared" ref="K46:L46" si="2">SUM(K43:K45)</f>
        <v>40</v>
      </c>
      <c r="L46" s="653">
        <f t="shared" si="2"/>
        <v>40</v>
      </c>
    </row>
    <row r="47" spans="1:12" x14ac:dyDescent="0.3">
      <c r="A47" s="2864" t="s">
        <v>15</v>
      </c>
      <c r="B47" s="2884" t="s">
        <v>25</v>
      </c>
      <c r="C47" s="2886" t="s">
        <v>27</v>
      </c>
      <c r="D47" s="2707" t="s">
        <v>333</v>
      </c>
      <c r="E47" s="2731" t="s">
        <v>19</v>
      </c>
      <c r="F47" s="2717" t="s">
        <v>20</v>
      </c>
      <c r="G47" s="2719" t="s">
        <v>98</v>
      </c>
      <c r="H47" s="2825" t="s">
        <v>334</v>
      </c>
      <c r="I47" s="662" t="s">
        <v>284</v>
      </c>
      <c r="J47" s="910">
        <f>18-11</f>
        <v>7</v>
      </c>
      <c r="K47" s="910">
        <v>18</v>
      </c>
      <c r="L47" s="911">
        <v>18</v>
      </c>
    </row>
    <row r="48" spans="1:12" ht="24.75" customHeight="1" x14ac:dyDescent="0.3">
      <c r="A48" s="2864"/>
      <c r="B48" s="2746"/>
      <c r="C48" s="2886"/>
      <c r="D48" s="2707"/>
      <c r="E48" s="2732"/>
      <c r="F48" s="2727"/>
      <c r="G48" s="2720"/>
      <c r="H48" s="2820"/>
      <c r="I48" s="661" t="s">
        <v>24</v>
      </c>
      <c r="J48" s="652">
        <f>SUM(J47:J47)</f>
        <v>7</v>
      </c>
      <c r="K48" s="809">
        <f>SUM(K47:K47)</f>
        <v>18</v>
      </c>
      <c r="L48" s="1274">
        <f>SUM(L47:L47)</f>
        <v>18</v>
      </c>
    </row>
    <row r="49" spans="1:12" ht="18.75" customHeight="1" x14ac:dyDescent="0.3">
      <c r="A49" s="2863" t="s">
        <v>15</v>
      </c>
      <c r="B49" s="2728" t="s">
        <v>25</v>
      </c>
      <c r="C49" s="2703" t="s">
        <v>31</v>
      </c>
      <c r="D49" s="2705" t="s">
        <v>335</v>
      </c>
      <c r="E49" s="2731" t="s">
        <v>19</v>
      </c>
      <c r="F49" s="2837" t="s">
        <v>20</v>
      </c>
      <c r="G49" s="2733" t="s">
        <v>98</v>
      </c>
      <c r="H49" s="2736" t="s">
        <v>336</v>
      </c>
      <c r="I49" s="1266" t="s">
        <v>23</v>
      </c>
      <c r="J49" s="1269">
        <v>0</v>
      </c>
      <c r="K49" s="1269">
        <v>0</v>
      </c>
      <c r="L49" s="1263">
        <v>0</v>
      </c>
    </row>
    <row r="50" spans="1:12" ht="13.5" customHeight="1" x14ac:dyDescent="0.3">
      <c r="A50" s="2864"/>
      <c r="B50" s="2729"/>
      <c r="C50" s="2704"/>
      <c r="D50" s="2706"/>
      <c r="E50" s="2721"/>
      <c r="F50" s="2838"/>
      <c r="G50" s="2734"/>
      <c r="H50" s="2737"/>
      <c r="I50" s="1267" t="s">
        <v>284</v>
      </c>
      <c r="J50" s="1270">
        <f>31-6.5</f>
        <v>24.5</v>
      </c>
      <c r="K50" s="1270">
        <v>31</v>
      </c>
      <c r="L50" s="1264">
        <v>31</v>
      </c>
    </row>
    <row r="51" spans="1:12" ht="19.5" customHeight="1" x14ac:dyDescent="0.3">
      <c r="A51" s="2864"/>
      <c r="B51" s="2729"/>
      <c r="C51" s="2704"/>
      <c r="D51" s="2706"/>
      <c r="E51" s="2721"/>
      <c r="F51" s="2838"/>
      <c r="G51" s="2734"/>
      <c r="H51" s="2737"/>
      <c r="I51" s="1062" t="s">
        <v>30</v>
      </c>
      <c r="J51" s="1271">
        <v>3</v>
      </c>
      <c r="K51" s="1270">
        <v>0</v>
      </c>
      <c r="L51" s="1265">
        <v>0</v>
      </c>
    </row>
    <row r="52" spans="1:12" ht="18.75" customHeight="1" x14ac:dyDescent="0.3">
      <c r="A52" s="2865"/>
      <c r="B52" s="2730"/>
      <c r="C52" s="2704"/>
      <c r="D52" s="2707"/>
      <c r="E52" s="2732"/>
      <c r="F52" s="2839"/>
      <c r="G52" s="2735"/>
      <c r="H52" s="2738"/>
      <c r="I52" s="1262" t="s">
        <v>24</v>
      </c>
      <c r="J52" s="1272">
        <f>SUM(J49:J51)</f>
        <v>27.5</v>
      </c>
      <c r="K52" s="1268">
        <f t="shared" ref="K52:L52" si="3">SUM(K49:K51)</f>
        <v>31</v>
      </c>
      <c r="L52" s="1273">
        <f t="shared" si="3"/>
        <v>31</v>
      </c>
    </row>
    <row r="53" spans="1:12" ht="15" customHeight="1" x14ac:dyDescent="0.3">
      <c r="A53" s="2739" t="s">
        <v>15</v>
      </c>
      <c r="B53" s="2741" t="s">
        <v>25</v>
      </c>
      <c r="C53" s="2753" t="s">
        <v>33</v>
      </c>
      <c r="D53" s="2757" t="s">
        <v>337</v>
      </c>
      <c r="E53" s="2749" t="s">
        <v>19</v>
      </c>
      <c r="F53" s="2775" t="s">
        <v>129</v>
      </c>
      <c r="G53" s="1538" t="s">
        <v>338</v>
      </c>
      <c r="H53" s="2780" t="s">
        <v>339</v>
      </c>
      <c r="I53" s="253" t="s">
        <v>23</v>
      </c>
      <c r="J53" s="666">
        <f>588.8+40</f>
        <v>628.79999999999995</v>
      </c>
      <c r="K53" s="670">
        <v>588.79999999999995</v>
      </c>
      <c r="L53" s="666">
        <v>588.79999999999995</v>
      </c>
    </row>
    <row r="54" spans="1:12" x14ac:dyDescent="0.3">
      <c r="A54" s="2740"/>
      <c r="B54" s="2741"/>
      <c r="C54" s="2754"/>
      <c r="D54" s="2758"/>
      <c r="E54" s="2750"/>
      <c r="F54" s="2776"/>
      <c r="G54" s="1538"/>
      <c r="H54" s="2781"/>
      <c r="I54" s="667" t="s">
        <v>30</v>
      </c>
      <c r="J54" s="668">
        <v>3.7</v>
      </c>
      <c r="K54" s="668">
        <v>0</v>
      </c>
      <c r="L54" s="668">
        <v>0</v>
      </c>
    </row>
    <row r="55" spans="1:12" ht="24" x14ac:dyDescent="0.3">
      <c r="A55" s="2740"/>
      <c r="B55" s="2741"/>
      <c r="C55" s="2755"/>
      <c r="D55" s="2759"/>
      <c r="E55" s="2751"/>
      <c r="F55" s="669" t="s">
        <v>131</v>
      </c>
      <c r="G55" s="1538"/>
      <c r="H55" s="2781"/>
      <c r="I55" s="253" t="s">
        <v>23</v>
      </c>
      <c r="J55" s="670">
        <v>72.5</v>
      </c>
      <c r="K55" s="670">
        <v>72.5</v>
      </c>
      <c r="L55" s="670">
        <v>72.5</v>
      </c>
    </row>
    <row r="56" spans="1:12" x14ac:dyDescent="0.3">
      <c r="A56" s="2740"/>
      <c r="B56" s="2741"/>
      <c r="C56" s="2755"/>
      <c r="D56" s="2759"/>
      <c r="E56" s="2751"/>
      <c r="F56" s="2785" t="s">
        <v>132</v>
      </c>
      <c r="G56" s="1538"/>
      <c r="H56" s="2781"/>
      <c r="I56" s="569" t="s">
        <v>23</v>
      </c>
      <c r="J56" s="671">
        <f>112.6-20</f>
        <v>92.6</v>
      </c>
      <c r="K56" s="671">
        <v>112.6</v>
      </c>
      <c r="L56" s="671">
        <v>112.6</v>
      </c>
    </row>
    <row r="57" spans="1:12" x14ac:dyDescent="0.3">
      <c r="A57" s="2740"/>
      <c r="B57" s="2741"/>
      <c r="C57" s="2755"/>
      <c r="D57" s="2759"/>
      <c r="E57" s="2751"/>
      <c r="F57" s="2776"/>
      <c r="G57" s="1538"/>
      <c r="H57" s="2781"/>
      <c r="I57" s="569" t="s">
        <v>30</v>
      </c>
      <c r="J57" s="671">
        <v>1.2</v>
      </c>
      <c r="K57" s="671">
        <v>0</v>
      </c>
      <c r="L57" s="671">
        <v>0</v>
      </c>
    </row>
    <row r="58" spans="1:12" x14ac:dyDescent="0.3">
      <c r="A58" s="2740"/>
      <c r="B58" s="2741"/>
      <c r="C58" s="2755"/>
      <c r="D58" s="2759"/>
      <c r="E58" s="2751"/>
      <c r="F58" s="669" t="s">
        <v>133</v>
      </c>
      <c r="G58" s="1538"/>
      <c r="H58" s="2781"/>
      <c r="I58" s="569" t="s">
        <v>23</v>
      </c>
      <c r="J58" s="671">
        <f>38.6-5.6-10</f>
        <v>23</v>
      </c>
      <c r="K58" s="671">
        <v>38.6</v>
      </c>
      <c r="L58" s="671">
        <v>38.6</v>
      </c>
    </row>
    <row r="59" spans="1:12" x14ac:dyDescent="0.3">
      <c r="A59" s="2740"/>
      <c r="B59" s="2741"/>
      <c r="C59" s="2755"/>
      <c r="D59" s="2759"/>
      <c r="E59" s="2751"/>
      <c r="F59" s="2785" t="s">
        <v>134</v>
      </c>
      <c r="G59" s="1538"/>
      <c r="H59" s="2781"/>
      <c r="I59" s="569" t="s">
        <v>23</v>
      </c>
      <c r="J59" s="671">
        <f>59.8-10</f>
        <v>49.8</v>
      </c>
      <c r="K59" s="671">
        <v>59.8</v>
      </c>
      <c r="L59" s="671">
        <v>59.8</v>
      </c>
    </row>
    <row r="60" spans="1:12" x14ac:dyDescent="0.3">
      <c r="A60" s="2740"/>
      <c r="B60" s="2741"/>
      <c r="C60" s="2755"/>
      <c r="D60" s="2759"/>
      <c r="E60" s="2751"/>
      <c r="F60" s="2776"/>
      <c r="G60" s="1538"/>
      <c r="H60" s="2781"/>
      <c r="I60" s="569" t="s">
        <v>30</v>
      </c>
      <c r="J60" s="671">
        <v>0.4</v>
      </c>
      <c r="K60" s="671">
        <v>0</v>
      </c>
      <c r="L60" s="671">
        <v>0</v>
      </c>
    </row>
    <row r="61" spans="1:12" x14ac:dyDescent="0.3">
      <c r="A61" s="2740"/>
      <c r="B61" s="2741"/>
      <c r="C61" s="2755"/>
      <c r="D61" s="2759"/>
      <c r="E61" s="2751"/>
      <c r="F61" s="2785" t="s">
        <v>135</v>
      </c>
      <c r="G61" s="1538"/>
      <c r="H61" s="2781"/>
      <c r="I61" s="569" t="s">
        <v>23</v>
      </c>
      <c r="J61" s="671">
        <f>36.1-8</f>
        <v>28.1</v>
      </c>
      <c r="K61" s="671">
        <v>36.1</v>
      </c>
      <c r="L61" s="671">
        <v>36.1</v>
      </c>
    </row>
    <row r="62" spans="1:12" x14ac:dyDescent="0.3">
      <c r="A62" s="2740"/>
      <c r="B62" s="2741"/>
      <c r="C62" s="2755"/>
      <c r="D62" s="2759"/>
      <c r="E62" s="2751"/>
      <c r="F62" s="2423"/>
      <c r="G62" s="1538"/>
      <c r="H62" s="2781"/>
      <c r="I62" s="1105" t="s">
        <v>30</v>
      </c>
      <c r="J62" s="1106">
        <f>0.6-0.6</f>
        <v>0</v>
      </c>
      <c r="K62" s="1106">
        <v>0</v>
      </c>
      <c r="L62" s="1106">
        <v>0</v>
      </c>
    </row>
    <row r="63" spans="1:12" x14ac:dyDescent="0.3">
      <c r="A63" s="2740"/>
      <c r="B63" s="2741"/>
      <c r="C63" s="2755"/>
      <c r="D63" s="2759"/>
      <c r="E63" s="2751"/>
      <c r="F63" s="2422" t="s">
        <v>136</v>
      </c>
      <c r="G63" s="2777"/>
      <c r="H63" s="2781"/>
      <c r="I63" s="672" t="s">
        <v>23</v>
      </c>
      <c r="J63" s="673">
        <f>31+3.4</f>
        <v>34.4</v>
      </c>
      <c r="K63" s="673">
        <v>31</v>
      </c>
      <c r="L63" s="673">
        <v>31</v>
      </c>
    </row>
    <row r="64" spans="1:12" x14ac:dyDescent="0.3">
      <c r="A64" s="2740"/>
      <c r="B64" s="2741"/>
      <c r="C64" s="2755"/>
      <c r="D64" s="2759"/>
      <c r="E64" s="2751"/>
      <c r="F64" s="2426"/>
      <c r="G64" s="2777"/>
      <c r="H64" s="2781"/>
      <c r="I64" s="1107" t="s">
        <v>30</v>
      </c>
      <c r="J64" s="1106">
        <v>0.1</v>
      </c>
      <c r="K64" s="1106">
        <v>0</v>
      </c>
      <c r="L64" s="1106">
        <v>0</v>
      </c>
    </row>
    <row r="65" spans="1:12" ht="18.75" customHeight="1" x14ac:dyDescent="0.3">
      <c r="A65" s="2740"/>
      <c r="B65" s="2741"/>
      <c r="C65" s="2755"/>
      <c r="D65" s="2759"/>
      <c r="E65" s="2751"/>
      <c r="F65" s="2423" t="s">
        <v>137</v>
      </c>
      <c r="G65" s="2777"/>
      <c r="H65" s="2781"/>
      <c r="I65" s="642" t="s">
        <v>23</v>
      </c>
      <c r="J65" s="946">
        <f>116.8-12.5-24</f>
        <v>80.3</v>
      </c>
      <c r="K65" s="946">
        <v>116.8</v>
      </c>
      <c r="L65" s="944">
        <v>116.8</v>
      </c>
    </row>
    <row r="66" spans="1:12" ht="18.75" customHeight="1" x14ac:dyDescent="0.3">
      <c r="A66" s="2740"/>
      <c r="B66" s="2741"/>
      <c r="C66" s="2755"/>
      <c r="D66" s="2759"/>
      <c r="E66" s="2751"/>
      <c r="F66" s="2426"/>
      <c r="G66" s="2777"/>
      <c r="H66" s="2781"/>
      <c r="I66" s="941" t="s">
        <v>30</v>
      </c>
      <c r="J66" s="947">
        <v>1.4</v>
      </c>
      <c r="K66" s="947">
        <v>0</v>
      </c>
      <c r="L66" s="945">
        <v>0</v>
      </c>
    </row>
    <row r="67" spans="1:12" x14ac:dyDescent="0.3">
      <c r="A67" s="2740"/>
      <c r="B67" s="2741"/>
      <c r="C67" s="2755"/>
      <c r="D67" s="2759"/>
      <c r="E67" s="2751"/>
      <c r="F67" s="2423" t="s">
        <v>138</v>
      </c>
      <c r="G67" s="2777"/>
      <c r="H67" s="2781"/>
      <c r="I67" s="943" t="s">
        <v>23</v>
      </c>
      <c r="J67" s="670">
        <v>67.900000000000006</v>
      </c>
      <c r="K67" s="670">
        <v>67.900000000000006</v>
      </c>
      <c r="L67" s="670">
        <v>67.900000000000006</v>
      </c>
    </row>
    <row r="68" spans="1:12" x14ac:dyDescent="0.3">
      <c r="A68" s="2740"/>
      <c r="B68" s="2741"/>
      <c r="C68" s="2755"/>
      <c r="D68" s="2759"/>
      <c r="E68" s="2751"/>
      <c r="F68" s="2426"/>
      <c r="G68" s="2777"/>
      <c r="H68" s="2781"/>
      <c r="I68" s="674" t="s">
        <v>30</v>
      </c>
      <c r="J68" s="675">
        <v>0</v>
      </c>
      <c r="K68" s="675">
        <v>0</v>
      </c>
      <c r="L68" s="675">
        <v>0</v>
      </c>
    </row>
    <row r="69" spans="1:12" ht="19.5" customHeight="1" x14ac:dyDescent="0.3">
      <c r="A69" s="2740"/>
      <c r="B69" s="2741"/>
      <c r="C69" s="2755"/>
      <c r="D69" s="2759"/>
      <c r="E69" s="2751"/>
      <c r="F69" s="2422" t="s">
        <v>139</v>
      </c>
      <c r="G69" s="1538"/>
      <c r="H69" s="2781"/>
      <c r="I69" s="253" t="s">
        <v>23</v>
      </c>
      <c r="J69" s="670">
        <f>80.6+11.1</f>
        <v>91.699999999999989</v>
      </c>
      <c r="K69" s="670">
        <v>80.599999999999994</v>
      </c>
      <c r="L69" s="670">
        <v>80.599999999999994</v>
      </c>
    </row>
    <row r="70" spans="1:12" ht="16.5" customHeight="1" x14ac:dyDescent="0.3">
      <c r="A70" s="2740"/>
      <c r="B70" s="2741"/>
      <c r="C70" s="2755"/>
      <c r="D70" s="2759"/>
      <c r="E70" s="2751"/>
      <c r="F70" s="2423"/>
      <c r="G70" s="1538"/>
      <c r="H70" s="2781"/>
      <c r="I70" s="257" t="s">
        <v>30</v>
      </c>
      <c r="J70" s="926">
        <v>1.7</v>
      </c>
      <c r="K70" s="926">
        <v>1.7</v>
      </c>
      <c r="L70" s="926">
        <v>1.7</v>
      </c>
    </row>
    <row r="71" spans="1:12" ht="13.5" customHeight="1" x14ac:dyDescent="0.3">
      <c r="A71" s="2740"/>
      <c r="B71" s="2741"/>
      <c r="C71" s="2755"/>
      <c r="D71" s="2759"/>
      <c r="E71" s="2751"/>
      <c r="F71" s="2786" t="s">
        <v>140</v>
      </c>
      <c r="G71" s="2777"/>
      <c r="H71" s="2781"/>
      <c r="I71" s="642" t="s">
        <v>23</v>
      </c>
      <c r="J71" s="946">
        <v>64.5</v>
      </c>
      <c r="K71" s="946">
        <v>64.5</v>
      </c>
      <c r="L71" s="944">
        <v>64.5</v>
      </c>
    </row>
    <row r="72" spans="1:12" ht="13.5" customHeight="1" thickBot="1" x14ac:dyDescent="0.35">
      <c r="A72" s="2740"/>
      <c r="B72" s="2741"/>
      <c r="C72" s="2756"/>
      <c r="D72" s="2760"/>
      <c r="E72" s="2752"/>
      <c r="F72" s="2785"/>
      <c r="G72" s="2777"/>
      <c r="H72" s="2781"/>
      <c r="I72" s="941" t="s">
        <v>30</v>
      </c>
      <c r="J72" s="947">
        <v>0.1</v>
      </c>
      <c r="K72" s="947">
        <v>0</v>
      </c>
      <c r="L72" s="945">
        <v>0</v>
      </c>
    </row>
    <row r="73" spans="1:12" ht="18" customHeight="1" thickBot="1" x14ac:dyDescent="0.35">
      <c r="A73" s="2740"/>
      <c r="B73" s="2741"/>
      <c r="C73" s="2756"/>
      <c r="D73" s="2760"/>
      <c r="E73" s="2752"/>
      <c r="F73" s="2787"/>
      <c r="G73" s="2777"/>
      <c r="H73" s="2781"/>
      <c r="I73" s="1391" t="s">
        <v>24</v>
      </c>
      <c r="J73" s="1392">
        <f>J53+J54+J55+J56+J57+J58+J59+J60+J61+J62+J63+J64+J65+J66+J67+J68+J69+J70+J71+J72</f>
        <v>1242.2</v>
      </c>
      <c r="K73" s="1392">
        <f>SUM(K53:K72)</f>
        <v>1270.9000000000001</v>
      </c>
      <c r="L73" s="1392">
        <f>SUM(L53:L72)</f>
        <v>1270.9000000000001</v>
      </c>
    </row>
    <row r="74" spans="1:12" ht="41.25" customHeight="1" x14ac:dyDescent="0.3">
      <c r="A74" s="2679" t="s">
        <v>15</v>
      </c>
      <c r="B74" s="2681" t="s">
        <v>25</v>
      </c>
      <c r="C74" s="2895" t="s">
        <v>66</v>
      </c>
      <c r="D74" s="2898" t="s">
        <v>494</v>
      </c>
      <c r="E74" s="2731" t="s">
        <v>498</v>
      </c>
      <c r="F74" s="1671" t="s">
        <v>20</v>
      </c>
      <c r="G74" s="2241" t="s">
        <v>178</v>
      </c>
      <c r="H74" s="2782"/>
      <c r="I74" s="1393" t="s">
        <v>23</v>
      </c>
      <c r="J74" s="1394">
        <f>30.5-30.5</f>
        <v>0</v>
      </c>
      <c r="K74" s="1394">
        <v>30.5</v>
      </c>
      <c r="L74" s="1395">
        <v>30.5</v>
      </c>
    </row>
    <row r="75" spans="1:12" ht="41.25" customHeight="1" x14ac:dyDescent="0.3">
      <c r="A75" s="2680"/>
      <c r="B75" s="2682"/>
      <c r="C75" s="2896"/>
      <c r="D75" s="2899"/>
      <c r="E75" s="2721"/>
      <c r="F75" s="1671"/>
      <c r="G75" s="2303"/>
      <c r="H75" s="2783"/>
      <c r="I75" s="1431" t="s">
        <v>324</v>
      </c>
      <c r="J75" s="1432">
        <f>0+306.8</f>
        <v>306.8</v>
      </c>
      <c r="K75" s="1432">
        <v>0</v>
      </c>
      <c r="L75" s="1433">
        <v>0</v>
      </c>
    </row>
    <row r="76" spans="1:12" ht="41.25" customHeight="1" thickBot="1" x14ac:dyDescent="0.35">
      <c r="A76" s="2680"/>
      <c r="B76" s="2682"/>
      <c r="C76" s="2896"/>
      <c r="D76" s="2899"/>
      <c r="E76" s="2721"/>
      <c r="F76" s="1671"/>
      <c r="G76" s="2303"/>
      <c r="H76" s="2783"/>
      <c r="I76" s="1396" t="s">
        <v>227</v>
      </c>
      <c r="J76" s="1397">
        <f>0+135</f>
        <v>135</v>
      </c>
      <c r="K76" s="1397">
        <v>138.4</v>
      </c>
      <c r="L76" s="1398">
        <v>138.4</v>
      </c>
    </row>
    <row r="77" spans="1:12" ht="28.5" customHeight="1" thickBot="1" x14ac:dyDescent="0.35">
      <c r="A77" s="2894"/>
      <c r="B77" s="2883"/>
      <c r="C77" s="2897"/>
      <c r="D77" s="2900"/>
      <c r="E77" s="2732"/>
      <c r="F77" s="1613"/>
      <c r="G77" s="2242"/>
      <c r="H77" s="2784"/>
      <c r="I77" s="590" t="s">
        <v>24</v>
      </c>
      <c r="J77" s="948">
        <f>SUM(J74:J76)</f>
        <v>441.8</v>
      </c>
      <c r="K77" s="948">
        <f t="shared" ref="K77:L77" si="4">SUM(K74:K76)</f>
        <v>168.9</v>
      </c>
      <c r="L77" s="948">
        <f t="shared" si="4"/>
        <v>168.9</v>
      </c>
    </row>
    <row r="78" spans="1:12" ht="22.5" customHeight="1" thickBot="1" x14ac:dyDescent="0.35">
      <c r="A78" s="346" t="s">
        <v>15</v>
      </c>
      <c r="B78" s="338" t="s">
        <v>25</v>
      </c>
      <c r="C78" s="2804" t="s">
        <v>80</v>
      </c>
      <c r="D78" s="2805"/>
      <c r="E78" s="2805"/>
      <c r="F78" s="2805"/>
      <c r="G78" s="2805"/>
      <c r="H78" s="2805"/>
      <c r="I78" s="2806"/>
      <c r="J78" s="347">
        <f>J42+J46+J48+J52+J73+J77</f>
        <v>1826.7</v>
      </c>
      <c r="K78" s="352">
        <f>K42+K46+K48+K52+K73+K77</f>
        <v>1549.8000000000002</v>
      </c>
      <c r="L78" s="353">
        <f>L42+L46+L48+L52+L73</f>
        <v>1380.9</v>
      </c>
    </row>
    <row r="79" spans="1:12" ht="18.75" customHeight="1" thickBot="1" x14ac:dyDescent="0.35">
      <c r="A79" s="343" t="s">
        <v>15</v>
      </c>
      <c r="B79" s="354" t="s">
        <v>27</v>
      </c>
      <c r="C79" s="355" t="s">
        <v>340</v>
      </c>
      <c r="D79" s="356"/>
      <c r="E79" s="340"/>
      <c r="F79" s="340"/>
      <c r="G79" s="356"/>
      <c r="H79" s="356"/>
      <c r="I79" s="340"/>
      <c r="J79" s="340"/>
      <c r="K79" s="340"/>
      <c r="L79" s="357"/>
    </row>
    <row r="80" spans="1:12" ht="90" customHeight="1" x14ac:dyDescent="0.3">
      <c r="A80" s="344" t="s">
        <v>15</v>
      </c>
      <c r="B80" s="2695" t="s">
        <v>27</v>
      </c>
      <c r="C80" s="2742" t="s">
        <v>15</v>
      </c>
      <c r="D80" s="2743" t="s">
        <v>341</v>
      </c>
      <c r="E80" s="2761" t="s">
        <v>19</v>
      </c>
      <c r="F80" s="2766" t="s">
        <v>20</v>
      </c>
      <c r="G80" s="2769" t="s">
        <v>98</v>
      </c>
      <c r="H80" s="2772" t="s">
        <v>22</v>
      </c>
      <c r="I80" s="676" t="s">
        <v>284</v>
      </c>
      <c r="J80" s="650">
        <v>35</v>
      </c>
      <c r="K80" s="650">
        <v>35</v>
      </c>
      <c r="L80" s="650">
        <v>35</v>
      </c>
    </row>
    <row r="81" spans="1:15" ht="62.25" customHeight="1" x14ac:dyDescent="0.3">
      <c r="A81" s="346"/>
      <c r="B81" s="2668"/>
      <c r="C81" s="2670"/>
      <c r="D81" s="2744"/>
      <c r="E81" s="2762"/>
      <c r="F81" s="2767"/>
      <c r="G81" s="2770"/>
      <c r="H81" s="2773"/>
      <c r="I81" s="677" t="s">
        <v>30</v>
      </c>
      <c r="J81" s="678">
        <v>8</v>
      </c>
      <c r="K81" s="678">
        <v>0</v>
      </c>
      <c r="L81" s="678">
        <v>0</v>
      </c>
      <c r="O81" s="526"/>
    </row>
    <row r="82" spans="1:15" x14ac:dyDescent="0.3">
      <c r="A82" s="345"/>
      <c r="B82" s="2669"/>
      <c r="C82" s="2671"/>
      <c r="D82" s="2745"/>
      <c r="E82" s="2763"/>
      <c r="F82" s="2768"/>
      <c r="G82" s="2771"/>
      <c r="H82" s="2774"/>
      <c r="I82" s="646" t="s">
        <v>24</v>
      </c>
      <c r="J82" s="648">
        <f>SUM(J80:J81)</f>
        <v>43</v>
      </c>
      <c r="K82" s="648">
        <f t="shared" ref="K82:L82" si="5">SUM(K80:K81)</f>
        <v>35</v>
      </c>
      <c r="L82" s="655">
        <f t="shared" si="5"/>
        <v>35</v>
      </c>
    </row>
    <row r="83" spans="1:15" ht="27.75" customHeight="1" x14ac:dyDescent="0.3">
      <c r="A83" s="2891" t="s">
        <v>15</v>
      </c>
      <c r="B83" s="2893" t="s">
        <v>27</v>
      </c>
      <c r="C83" s="2852" t="s">
        <v>25</v>
      </c>
      <c r="D83" s="2912" t="s">
        <v>342</v>
      </c>
      <c r="E83" s="2687" t="s">
        <v>19</v>
      </c>
      <c r="F83" s="2766" t="s">
        <v>20</v>
      </c>
      <c r="G83" s="2867" t="s">
        <v>98</v>
      </c>
      <c r="H83" s="679" t="s">
        <v>22</v>
      </c>
      <c r="I83" s="681" t="s">
        <v>23</v>
      </c>
      <c r="J83" s="678">
        <f>2.5+2.4</f>
        <v>4.9000000000000004</v>
      </c>
      <c r="K83" s="678">
        <v>2.5</v>
      </c>
      <c r="L83" s="678">
        <v>2.5</v>
      </c>
    </row>
    <row r="84" spans="1:15" ht="24.75" customHeight="1" x14ac:dyDescent="0.3">
      <c r="A84" s="2892"/>
      <c r="B84" s="2747"/>
      <c r="C84" s="2851"/>
      <c r="D84" s="2913"/>
      <c r="E84" s="2914"/>
      <c r="F84" s="2768"/>
      <c r="G84" s="2868"/>
      <c r="H84" s="680"/>
      <c r="I84" s="646" t="s">
        <v>24</v>
      </c>
      <c r="J84" s="648">
        <f>SUM(J83)</f>
        <v>4.9000000000000004</v>
      </c>
      <c r="K84" s="648">
        <f t="shared" ref="K84:L84" si="6">SUM(K83)</f>
        <v>2.5</v>
      </c>
      <c r="L84" s="655">
        <f t="shared" si="6"/>
        <v>2.5</v>
      </c>
    </row>
    <row r="85" spans="1:15" ht="68.25" customHeight="1" x14ac:dyDescent="0.3">
      <c r="A85" s="2813" t="s">
        <v>15</v>
      </c>
      <c r="B85" s="2746" t="s">
        <v>27</v>
      </c>
      <c r="C85" s="2748" t="s">
        <v>27</v>
      </c>
      <c r="D85" s="2866" t="s">
        <v>343</v>
      </c>
      <c r="E85" s="2687" t="s">
        <v>19</v>
      </c>
      <c r="F85" s="2778" t="s">
        <v>20</v>
      </c>
      <c r="G85" s="2919" t="s">
        <v>98</v>
      </c>
      <c r="H85" s="2823" t="s">
        <v>344</v>
      </c>
      <c r="I85" s="682" t="s">
        <v>23</v>
      </c>
      <c r="J85" s="683">
        <f>45+47</f>
        <v>92</v>
      </c>
      <c r="K85" s="683">
        <v>50</v>
      </c>
      <c r="L85" s="678">
        <v>50</v>
      </c>
    </row>
    <row r="86" spans="1:15" ht="33" customHeight="1" x14ac:dyDescent="0.3">
      <c r="A86" s="2813"/>
      <c r="B86" s="2747"/>
      <c r="C86" s="2748"/>
      <c r="D86" s="2866"/>
      <c r="E86" s="2914"/>
      <c r="F86" s="2779"/>
      <c r="G86" s="2920"/>
      <c r="H86" s="2824"/>
      <c r="I86" s="657" t="s">
        <v>24</v>
      </c>
      <c r="J86" s="647">
        <f>SUM(J85:J85)</f>
        <v>92</v>
      </c>
      <c r="K86" s="647">
        <f>SUM(K85:K85)</f>
        <v>50</v>
      </c>
      <c r="L86" s="655">
        <f>SUM(L85:L85)</f>
        <v>50</v>
      </c>
    </row>
    <row r="87" spans="1:15" x14ac:dyDescent="0.3">
      <c r="A87" s="358" t="s">
        <v>15</v>
      </c>
      <c r="B87" s="354" t="s">
        <v>27</v>
      </c>
      <c r="C87" s="2804" t="s">
        <v>80</v>
      </c>
      <c r="D87" s="2805"/>
      <c r="E87" s="2805"/>
      <c r="F87" s="2805"/>
      <c r="G87" s="2805"/>
      <c r="H87" s="2805"/>
      <c r="I87" s="2806"/>
      <c r="J87" s="813">
        <f>J82+J84+J86</f>
        <v>139.9</v>
      </c>
      <c r="K87" s="813">
        <f>K82+K84+K86</f>
        <v>87.5</v>
      </c>
      <c r="L87" s="814">
        <f>L82+L84+L86</f>
        <v>87.5</v>
      </c>
    </row>
    <row r="88" spans="1:15" ht="15.75" customHeight="1" thickBot="1" x14ac:dyDescent="0.35">
      <c r="A88" s="360" t="s">
        <v>15</v>
      </c>
      <c r="B88" s="2916" t="s">
        <v>83</v>
      </c>
      <c r="C88" s="2917"/>
      <c r="D88" s="2917"/>
      <c r="E88" s="2917"/>
      <c r="F88" s="2917"/>
      <c r="G88" s="2917"/>
      <c r="H88" s="2917"/>
      <c r="I88" s="2918"/>
      <c r="J88" s="855">
        <f>J36+J78+J87</f>
        <v>2262.3000000000002</v>
      </c>
      <c r="K88" s="855">
        <f>K36+K78+K87</f>
        <v>2189.6000000000004</v>
      </c>
      <c r="L88" s="856">
        <f>L36+L78+L87</f>
        <v>1963.9</v>
      </c>
    </row>
    <row r="89" spans="1:15" ht="34.5" customHeight="1" thickBot="1" x14ac:dyDescent="0.35">
      <c r="A89" s="360" t="s">
        <v>25</v>
      </c>
      <c r="B89" s="361" t="s">
        <v>345</v>
      </c>
      <c r="C89" s="362"/>
      <c r="D89" s="362"/>
      <c r="E89" s="362"/>
      <c r="F89" s="362"/>
      <c r="G89" s="362"/>
      <c r="H89" s="362"/>
      <c r="I89" s="362"/>
      <c r="J89" s="362"/>
      <c r="K89" s="362"/>
      <c r="L89" s="363"/>
    </row>
    <row r="90" spans="1:15" ht="23.25" customHeight="1" thickBot="1" x14ac:dyDescent="0.35">
      <c r="A90" s="351" t="s">
        <v>25</v>
      </c>
      <c r="B90" s="338" t="s">
        <v>15</v>
      </c>
      <c r="C90" s="364" t="s">
        <v>346</v>
      </c>
      <c r="D90" s="340"/>
      <c r="E90" s="340"/>
      <c r="F90" s="340"/>
      <c r="G90" s="340"/>
      <c r="H90" s="340"/>
      <c r="I90" s="340"/>
      <c r="J90" s="340"/>
      <c r="K90" s="340"/>
      <c r="L90" s="350"/>
    </row>
    <row r="91" spans="1:15" ht="48.75" customHeight="1" thickBot="1" x14ac:dyDescent="0.35">
      <c r="A91" s="2826" t="s">
        <v>25</v>
      </c>
      <c r="B91" s="2827" t="s">
        <v>15</v>
      </c>
      <c r="C91" s="2828" t="s">
        <v>15</v>
      </c>
      <c r="D91" s="2834" t="s">
        <v>347</v>
      </c>
      <c r="E91" s="2731" t="s">
        <v>19</v>
      </c>
      <c r="F91" s="2717" t="s">
        <v>20</v>
      </c>
      <c r="G91" s="2719" t="s">
        <v>98</v>
      </c>
      <c r="H91" s="2819" t="s">
        <v>22</v>
      </c>
      <c r="I91" s="684" t="s">
        <v>23</v>
      </c>
      <c r="J91" s="685">
        <v>20</v>
      </c>
      <c r="K91" s="686">
        <v>20</v>
      </c>
      <c r="L91" s="687">
        <v>20</v>
      </c>
    </row>
    <row r="92" spans="1:15" ht="27.75" customHeight="1" x14ac:dyDescent="0.3">
      <c r="A92" s="2826"/>
      <c r="B92" s="2747"/>
      <c r="C92" s="2829"/>
      <c r="D92" s="2835"/>
      <c r="E92" s="2732"/>
      <c r="F92" s="2727"/>
      <c r="G92" s="2840"/>
      <c r="H92" s="2820"/>
      <c r="I92" s="688" t="s">
        <v>24</v>
      </c>
      <c r="J92" s="647">
        <f>SUM(J91:J91)</f>
        <v>20</v>
      </c>
      <c r="K92" s="804">
        <f>SUM(K91:K91)</f>
        <v>20</v>
      </c>
      <c r="L92" s="805">
        <f>SUM(L91:L91)</f>
        <v>20</v>
      </c>
    </row>
    <row r="93" spans="1:15" x14ac:dyDescent="0.3">
      <c r="A93" s="2864" t="s">
        <v>25</v>
      </c>
      <c r="B93" s="2746" t="s">
        <v>15</v>
      </c>
      <c r="C93" s="2878" t="s">
        <v>25</v>
      </c>
      <c r="D93" s="2888" t="s">
        <v>348</v>
      </c>
      <c r="E93" s="2844" t="s">
        <v>19</v>
      </c>
      <c r="F93" s="2915" t="s">
        <v>20</v>
      </c>
      <c r="G93" s="2857" t="s">
        <v>98</v>
      </c>
      <c r="H93" s="2821" t="s">
        <v>349</v>
      </c>
      <c r="I93" s="689" t="s">
        <v>23</v>
      </c>
      <c r="J93" s="769">
        <v>11</v>
      </c>
      <c r="K93" s="806">
        <v>13</v>
      </c>
      <c r="L93" s="807">
        <v>13</v>
      </c>
    </row>
    <row r="94" spans="1:15" ht="22.5" customHeight="1" x14ac:dyDescent="0.3">
      <c r="A94" s="2864"/>
      <c r="B94" s="2877"/>
      <c r="C94" s="2858"/>
      <c r="D94" s="2889"/>
      <c r="E94" s="2846"/>
      <c r="F94" s="2861"/>
      <c r="G94" s="2856"/>
      <c r="H94" s="2822"/>
      <c r="I94" s="646" t="s">
        <v>24</v>
      </c>
      <c r="J94" s="647">
        <f>SUM(J93:J93)</f>
        <v>11</v>
      </c>
      <c r="K94" s="804">
        <f>SUM(K93:K93)</f>
        <v>13</v>
      </c>
      <c r="L94" s="808">
        <f>SUM(L93:L93)</f>
        <v>13</v>
      </c>
    </row>
    <row r="95" spans="1:15" ht="81.75" customHeight="1" thickBot="1" x14ac:dyDescent="0.35">
      <c r="A95" s="2826" t="s">
        <v>25</v>
      </c>
      <c r="B95" s="2890" t="s">
        <v>15</v>
      </c>
      <c r="C95" s="2764" t="s">
        <v>27</v>
      </c>
      <c r="D95" s="2765" t="s">
        <v>350</v>
      </c>
      <c r="E95" s="2844" t="s">
        <v>19</v>
      </c>
      <c r="F95" s="2915" t="s">
        <v>20</v>
      </c>
      <c r="G95" s="2857" t="s">
        <v>98</v>
      </c>
      <c r="H95" s="2836" t="s">
        <v>22</v>
      </c>
      <c r="I95" s="689" t="s">
        <v>23</v>
      </c>
      <c r="J95" s="769">
        <v>8</v>
      </c>
      <c r="K95" s="806">
        <v>8</v>
      </c>
      <c r="L95" s="807">
        <v>8</v>
      </c>
    </row>
    <row r="96" spans="1:15" ht="46.5" customHeight="1" thickBot="1" x14ac:dyDescent="0.35">
      <c r="A96" s="2826"/>
      <c r="B96" s="2883"/>
      <c r="C96" s="2764"/>
      <c r="D96" s="2765"/>
      <c r="E96" s="2846"/>
      <c r="F96" s="2861"/>
      <c r="G96" s="2856"/>
      <c r="H96" s="2822"/>
      <c r="I96" s="792" t="s">
        <v>24</v>
      </c>
      <c r="J96" s="652">
        <f>SUM(J95:J95)</f>
        <v>8</v>
      </c>
      <c r="K96" s="809">
        <f>SUM(K95:K95)</f>
        <v>8</v>
      </c>
      <c r="L96" s="810">
        <f>SUM(L95:L95)</f>
        <v>8</v>
      </c>
    </row>
    <row r="97" spans="1:12" ht="24" customHeight="1" x14ac:dyDescent="0.3">
      <c r="A97" s="2901" t="s">
        <v>25</v>
      </c>
      <c r="B97" s="2681" t="s">
        <v>15</v>
      </c>
      <c r="C97" s="2904" t="s">
        <v>31</v>
      </c>
      <c r="D97" s="2907" t="s">
        <v>351</v>
      </c>
      <c r="E97" s="2731" t="s">
        <v>19</v>
      </c>
      <c r="F97" s="2717" t="s">
        <v>20</v>
      </c>
      <c r="G97" s="2719" t="s">
        <v>98</v>
      </c>
      <c r="H97" s="2909" t="s">
        <v>22</v>
      </c>
      <c r="I97" s="802" t="s">
        <v>23</v>
      </c>
      <c r="J97" s="811">
        <v>0</v>
      </c>
      <c r="K97" s="811">
        <v>0</v>
      </c>
      <c r="L97" s="811">
        <v>0</v>
      </c>
    </row>
    <row r="98" spans="1:12" ht="25.5" customHeight="1" x14ac:dyDescent="0.3">
      <c r="A98" s="2680"/>
      <c r="B98" s="2682"/>
      <c r="C98" s="2905"/>
      <c r="D98" s="2908"/>
      <c r="E98" s="2721"/>
      <c r="F98" s="2718"/>
      <c r="G98" s="2720"/>
      <c r="H98" s="2910"/>
      <c r="I98" s="803" t="s">
        <v>87</v>
      </c>
      <c r="J98" s="812">
        <v>194</v>
      </c>
      <c r="K98" s="812">
        <v>194</v>
      </c>
      <c r="L98" s="1108">
        <v>194</v>
      </c>
    </row>
    <row r="99" spans="1:12" ht="25.5" customHeight="1" x14ac:dyDescent="0.3">
      <c r="A99" s="2902"/>
      <c r="B99" s="2903"/>
      <c r="C99" s="2906"/>
      <c r="D99" s="2835"/>
      <c r="E99" s="2732"/>
      <c r="F99" s="2727"/>
      <c r="G99" s="2840"/>
      <c r="H99" s="2911"/>
      <c r="I99" s="801" t="s">
        <v>24</v>
      </c>
      <c r="J99" s="815">
        <f>SUM(J97:J98)</f>
        <v>194</v>
      </c>
      <c r="K99" s="1276">
        <f t="shared" ref="K99:L99" si="7">SUM(K97:K98)</f>
        <v>194</v>
      </c>
      <c r="L99" s="1275">
        <f t="shared" si="7"/>
        <v>194</v>
      </c>
    </row>
    <row r="100" spans="1:12" ht="19.5" customHeight="1" x14ac:dyDescent="0.3">
      <c r="A100" s="346" t="s">
        <v>25</v>
      </c>
      <c r="B100" s="365" t="s">
        <v>15</v>
      </c>
      <c r="C100" s="2805" t="s">
        <v>80</v>
      </c>
      <c r="D100" s="2805"/>
      <c r="E100" s="2805"/>
      <c r="F100" s="2805"/>
      <c r="G100" s="2805"/>
      <c r="H100" s="2805"/>
      <c r="I100" s="2806"/>
      <c r="J100" s="813">
        <f>J92+J94+J96+J99</f>
        <v>233</v>
      </c>
      <c r="K100" s="813">
        <f>K92+K94+K96+K99</f>
        <v>235</v>
      </c>
      <c r="L100" s="814">
        <f>L92+L94+L96+L99</f>
        <v>235</v>
      </c>
    </row>
    <row r="101" spans="1:12" x14ac:dyDescent="0.3">
      <c r="A101" s="351" t="s">
        <v>25</v>
      </c>
      <c r="B101" s="338" t="s">
        <v>25</v>
      </c>
      <c r="C101" s="364" t="s">
        <v>352</v>
      </c>
      <c r="D101" s="340"/>
      <c r="E101" s="340"/>
      <c r="F101" s="340"/>
      <c r="G101" s="340"/>
      <c r="H101" s="340"/>
      <c r="I101" s="340"/>
      <c r="J101" s="340"/>
      <c r="K101" s="340"/>
      <c r="L101" s="357"/>
    </row>
    <row r="102" spans="1:12" x14ac:dyDescent="0.3">
      <c r="A102" s="2870" t="s">
        <v>25</v>
      </c>
      <c r="B102" s="2871" t="s">
        <v>25</v>
      </c>
      <c r="C102" s="2873" t="s">
        <v>15</v>
      </c>
      <c r="D102" s="2765" t="s">
        <v>353</v>
      </c>
      <c r="E102" s="2844" t="s">
        <v>19</v>
      </c>
      <c r="F102" s="2717" t="s">
        <v>20</v>
      </c>
      <c r="G102" s="2719" t="s">
        <v>98</v>
      </c>
      <c r="H102" s="2841" t="s">
        <v>354</v>
      </c>
      <c r="I102" s="690" t="s">
        <v>23</v>
      </c>
      <c r="J102" s="857">
        <f>18-18+2.4</f>
        <v>2.4</v>
      </c>
      <c r="K102" s="857">
        <v>18</v>
      </c>
      <c r="L102" s="811">
        <v>18</v>
      </c>
    </row>
    <row r="103" spans="1:12" x14ac:dyDescent="0.3">
      <c r="A103" s="2826"/>
      <c r="B103" s="2882"/>
      <c r="C103" s="2873"/>
      <c r="D103" s="2765"/>
      <c r="E103" s="2845"/>
      <c r="F103" s="2718"/>
      <c r="G103" s="2720"/>
      <c r="H103" s="2815"/>
      <c r="I103" s="1310" t="s">
        <v>87</v>
      </c>
      <c r="J103" s="1311">
        <v>0</v>
      </c>
      <c r="K103" s="1311">
        <v>0</v>
      </c>
      <c r="L103" s="1108">
        <v>0</v>
      </c>
    </row>
    <row r="104" spans="1:12" x14ac:dyDescent="0.3">
      <c r="A104" s="2826"/>
      <c r="B104" s="2883"/>
      <c r="C104" s="2873"/>
      <c r="D104" s="2765"/>
      <c r="E104" s="2846"/>
      <c r="F104" s="2727"/>
      <c r="G104" s="2840"/>
      <c r="H104" s="2842"/>
      <c r="I104" s="646" t="s">
        <v>24</v>
      </c>
      <c r="J104" s="647">
        <f>SUM(J102:J103)</f>
        <v>2.4</v>
      </c>
      <c r="K104" s="647">
        <f t="shared" ref="K104:L104" si="8">SUM(K102:K103)</f>
        <v>18</v>
      </c>
      <c r="L104" s="655">
        <f t="shared" si="8"/>
        <v>18</v>
      </c>
    </row>
    <row r="105" spans="1:12" x14ac:dyDescent="0.3">
      <c r="A105" s="2870" t="s">
        <v>25</v>
      </c>
      <c r="B105" s="2871" t="s">
        <v>25</v>
      </c>
      <c r="C105" s="2873" t="s">
        <v>25</v>
      </c>
      <c r="D105" s="2765" t="s">
        <v>355</v>
      </c>
      <c r="E105" s="2844" t="s">
        <v>19</v>
      </c>
      <c r="F105" s="2717" t="s">
        <v>20</v>
      </c>
      <c r="G105" s="2719" t="s">
        <v>98</v>
      </c>
      <c r="H105" s="2825" t="s">
        <v>354</v>
      </c>
      <c r="I105" s="690" t="s">
        <v>23</v>
      </c>
      <c r="J105" s="644">
        <v>45</v>
      </c>
      <c r="K105" s="644">
        <v>50</v>
      </c>
      <c r="L105" s="645">
        <v>50</v>
      </c>
    </row>
    <row r="106" spans="1:12" x14ac:dyDescent="0.3">
      <c r="A106" s="2826"/>
      <c r="B106" s="2882"/>
      <c r="C106" s="2873"/>
      <c r="D106" s="2765"/>
      <c r="E106" s="2845"/>
      <c r="F106" s="2718"/>
      <c r="G106" s="2720"/>
      <c r="H106" s="2843"/>
      <c r="I106" s="1310" t="s">
        <v>87</v>
      </c>
      <c r="J106" s="1311">
        <v>0</v>
      </c>
      <c r="K106" s="1311">
        <v>0</v>
      </c>
      <c r="L106" s="1108">
        <v>0</v>
      </c>
    </row>
    <row r="107" spans="1:12" x14ac:dyDescent="0.3">
      <c r="A107" s="2826"/>
      <c r="B107" s="2883"/>
      <c r="C107" s="2873"/>
      <c r="D107" s="2765"/>
      <c r="E107" s="2846"/>
      <c r="F107" s="2727"/>
      <c r="G107" s="2840"/>
      <c r="H107" s="2820"/>
      <c r="I107" s="646" t="s">
        <v>24</v>
      </c>
      <c r="J107" s="647">
        <f>SUM(J105:J106)</f>
        <v>45</v>
      </c>
      <c r="K107" s="647">
        <f t="shared" ref="K107:L107" si="9">SUM(K105:K106)</f>
        <v>50</v>
      </c>
      <c r="L107" s="655">
        <f t="shared" si="9"/>
        <v>50</v>
      </c>
    </row>
    <row r="108" spans="1:12" x14ac:dyDescent="0.3">
      <c r="A108" s="2870" t="s">
        <v>25</v>
      </c>
      <c r="B108" s="2871" t="s">
        <v>25</v>
      </c>
      <c r="C108" s="2873" t="s">
        <v>27</v>
      </c>
      <c r="D108" s="2765" t="s">
        <v>356</v>
      </c>
      <c r="E108" s="2844" t="s">
        <v>19</v>
      </c>
      <c r="F108" s="2717" t="s">
        <v>20</v>
      </c>
      <c r="G108" s="2719" t="s">
        <v>98</v>
      </c>
      <c r="H108" s="2825" t="s">
        <v>354</v>
      </c>
      <c r="I108" s="690" t="s">
        <v>23</v>
      </c>
      <c r="J108" s="644">
        <f>80-12.6</f>
        <v>67.400000000000006</v>
      </c>
      <c r="K108" s="644">
        <v>80</v>
      </c>
      <c r="L108" s="645">
        <v>80</v>
      </c>
    </row>
    <row r="109" spans="1:12" x14ac:dyDescent="0.3">
      <c r="A109" s="2870"/>
      <c r="B109" s="2872"/>
      <c r="C109" s="2873"/>
      <c r="D109" s="2765"/>
      <c r="E109" s="2845"/>
      <c r="F109" s="2718"/>
      <c r="G109" s="2720"/>
      <c r="H109" s="2843"/>
      <c r="I109" s="689" t="s">
        <v>87</v>
      </c>
      <c r="J109" s="769">
        <v>0</v>
      </c>
      <c r="K109" s="769">
        <v>0</v>
      </c>
      <c r="L109" s="770">
        <v>0</v>
      </c>
    </row>
    <row r="110" spans="1:12" x14ac:dyDescent="0.3">
      <c r="A110" s="2666"/>
      <c r="B110" s="2682"/>
      <c r="C110" s="2874"/>
      <c r="D110" s="2875"/>
      <c r="E110" s="2845"/>
      <c r="F110" s="2718"/>
      <c r="G110" s="2720"/>
      <c r="H110" s="2847"/>
      <c r="I110" s="646" t="s">
        <v>24</v>
      </c>
      <c r="J110" s="647">
        <f>SUM(J108:J109)</f>
        <v>67.400000000000006</v>
      </c>
      <c r="K110" s="647">
        <f t="shared" ref="K110:L110" si="10">SUM(K108:K109)</f>
        <v>80</v>
      </c>
      <c r="L110" s="655">
        <f t="shared" si="10"/>
        <v>80</v>
      </c>
    </row>
    <row r="111" spans="1:12" ht="32.25" customHeight="1" x14ac:dyDescent="0.3">
      <c r="A111" s="2876" t="s">
        <v>25</v>
      </c>
      <c r="B111" s="2711" t="s">
        <v>25</v>
      </c>
      <c r="C111" s="2810" t="s">
        <v>31</v>
      </c>
      <c r="D111" s="2879" t="s">
        <v>357</v>
      </c>
      <c r="E111" s="2788" t="s">
        <v>19</v>
      </c>
      <c r="F111" s="2795" t="s">
        <v>20</v>
      </c>
      <c r="G111" s="2797" t="s">
        <v>98</v>
      </c>
      <c r="H111" s="2799" t="s">
        <v>354</v>
      </c>
      <c r="I111" s="690" t="s">
        <v>23</v>
      </c>
      <c r="J111" s="907">
        <v>21</v>
      </c>
      <c r="K111" s="907">
        <v>21</v>
      </c>
      <c r="L111" s="912">
        <v>21</v>
      </c>
    </row>
    <row r="112" spans="1:12" ht="22.5" customHeight="1" x14ac:dyDescent="0.3">
      <c r="A112" s="2826"/>
      <c r="B112" s="2712"/>
      <c r="C112" s="2811"/>
      <c r="D112" s="2880"/>
      <c r="E112" s="2789"/>
      <c r="F112" s="2801"/>
      <c r="G112" s="2869"/>
      <c r="H112" s="2802"/>
      <c r="I112" s="689" t="s">
        <v>87</v>
      </c>
      <c r="J112" s="1309">
        <v>195</v>
      </c>
      <c r="K112" s="1309">
        <v>195</v>
      </c>
      <c r="L112" s="1109">
        <v>195</v>
      </c>
    </row>
    <row r="113" spans="1:16" ht="21.75" customHeight="1" x14ac:dyDescent="0.3">
      <c r="A113" s="2666"/>
      <c r="B113" s="2668"/>
      <c r="C113" s="2812"/>
      <c r="D113" s="2881"/>
      <c r="E113" s="2789"/>
      <c r="F113" s="2801"/>
      <c r="G113" s="2869"/>
      <c r="H113" s="2803"/>
      <c r="I113" s="646" t="s">
        <v>24</v>
      </c>
      <c r="J113" s="647">
        <f>SUM(J111:J112)</f>
        <v>216</v>
      </c>
      <c r="K113" s="647">
        <f t="shared" ref="K113:L113" si="11">SUM(K111:K112)</f>
        <v>216</v>
      </c>
      <c r="L113" s="648">
        <f t="shared" si="11"/>
        <v>216</v>
      </c>
      <c r="P113" s="526"/>
    </row>
    <row r="114" spans="1:16" x14ac:dyDescent="0.3">
      <c r="A114" s="2790" t="s">
        <v>25</v>
      </c>
      <c r="B114" s="2695" t="s">
        <v>25</v>
      </c>
      <c r="C114" s="2791" t="s">
        <v>33</v>
      </c>
      <c r="D114" s="2715" t="s">
        <v>358</v>
      </c>
      <c r="E114" s="2788" t="s">
        <v>177</v>
      </c>
      <c r="F114" s="2795" t="s">
        <v>20</v>
      </c>
      <c r="G114" s="2797" t="s">
        <v>98</v>
      </c>
      <c r="H114" s="2799" t="s">
        <v>354</v>
      </c>
      <c r="I114" s="689" t="s">
        <v>23</v>
      </c>
      <c r="J114" s="913">
        <f>90-30</f>
        <v>60</v>
      </c>
      <c r="K114" s="913">
        <v>90</v>
      </c>
      <c r="L114" s="914">
        <v>90</v>
      </c>
    </row>
    <row r="115" spans="1:16" ht="60.75" customHeight="1" thickBot="1" x14ac:dyDescent="0.35">
      <c r="A115" s="2667"/>
      <c r="B115" s="2669"/>
      <c r="C115" s="2792"/>
      <c r="D115" s="2793"/>
      <c r="E115" s="2794"/>
      <c r="F115" s="2796"/>
      <c r="G115" s="2798"/>
      <c r="H115" s="2800"/>
      <c r="I115" s="646" t="s">
        <v>24</v>
      </c>
      <c r="J115" s="647">
        <f>J114</f>
        <v>60</v>
      </c>
      <c r="K115" s="647">
        <f t="shared" ref="K115:L115" si="12">SUM(K114)</f>
        <v>90</v>
      </c>
      <c r="L115" s="648">
        <f t="shared" si="12"/>
        <v>90</v>
      </c>
      <c r="O115" s="526"/>
    </row>
    <row r="116" spans="1:16" x14ac:dyDescent="0.3">
      <c r="A116" s="359" t="s">
        <v>25</v>
      </c>
      <c r="B116" s="349" t="s">
        <v>25</v>
      </c>
      <c r="C116" s="2804" t="s">
        <v>80</v>
      </c>
      <c r="D116" s="2805"/>
      <c r="E116" s="2805"/>
      <c r="F116" s="2805"/>
      <c r="G116" s="2805"/>
      <c r="H116" s="2805"/>
      <c r="I116" s="2806"/>
      <c r="J116" s="858">
        <f>J104+J107+J110+J113+J115</f>
        <v>390.8</v>
      </c>
      <c r="K116" s="858">
        <f t="shared" ref="K116:L116" si="13">K104+K107+K110+K113+K115</f>
        <v>454</v>
      </c>
      <c r="L116" s="859">
        <f t="shared" si="13"/>
        <v>454</v>
      </c>
    </row>
    <row r="117" spans="1:16" x14ac:dyDescent="0.3">
      <c r="A117" s="343" t="s">
        <v>25</v>
      </c>
      <c r="B117" s="2807" t="s">
        <v>83</v>
      </c>
      <c r="C117" s="2808"/>
      <c r="D117" s="2808"/>
      <c r="E117" s="2808"/>
      <c r="F117" s="2808"/>
      <c r="G117" s="2808"/>
      <c r="H117" s="2808"/>
      <c r="I117" s="2808"/>
      <c r="J117" s="366">
        <f>J100+J116</f>
        <v>623.79999999999995</v>
      </c>
      <c r="K117" s="366">
        <f t="shared" ref="K117:L117" si="14">K100+K116</f>
        <v>689</v>
      </c>
      <c r="L117" s="367">
        <f t="shared" si="14"/>
        <v>689</v>
      </c>
    </row>
    <row r="118" spans="1:16" x14ac:dyDescent="0.3">
      <c r="A118" s="368" t="s">
        <v>31</v>
      </c>
      <c r="B118" s="2809" t="s">
        <v>141</v>
      </c>
      <c r="C118" s="2809"/>
      <c r="D118" s="2809"/>
      <c r="E118" s="2809"/>
      <c r="F118" s="2809"/>
      <c r="G118" s="2809"/>
      <c r="H118" s="2809"/>
      <c r="I118" s="2809"/>
      <c r="J118" s="369">
        <f>J88+J117</f>
        <v>2886.1000000000004</v>
      </c>
      <c r="K118" s="369">
        <f>K88+K117</f>
        <v>2878.6000000000004</v>
      </c>
      <c r="L118" s="370">
        <f>L88+L117</f>
        <v>2652.9</v>
      </c>
    </row>
    <row r="119" spans="1:16" x14ac:dyDescent="0.3">
      <c r="A119" s="116" t="s">
        <v>142</v>
      </c>
      <c r="B119" s="371"/>
      <c r="C119" s="371"/>
      <c r="D119" s="371"/>
      <c r="E119" s="371"/>
      <c r="F119" s="371"/>
      <c r="G119" s="371"/>
      <c r="H119" s="371"/>
      <c r="I119" s="371"/>
      <c r="J119" s="329"/>
      <c r="K119" s="329"/>
    </row>
    <row r="120" spans="1:16" x14ac:dyDescent="0.3">
      <c r="A120" s="166"/>
      <c r="B120" s="123"/>
      <c r="C120" s="123"/>
      <c r="D120" s="192" t="s">
        <v>143</v>
      </c>
      <c r="E120" s="192"/>
      <c r="F120" s="192"/>
      <c r="G120" s="371"/>
      <c r="H120" s="371"/>
      <c r="I120" s="371"/>
      <c r="J120" s="372"/>
      <c r="K120" s="329"/>
    </row>
    <row r="121" spans="1:16" x14ac:dyDescent="0.3">
      <c r="A121" s="120"/>
      <c r="B121" s="120"/>
      <c r="C121" s="193"/>
      <c r="D121" s="122"/>
      <c r="E121" s="123"/>
      <c r="F121" s="123"/>
      <c r="G121" s="371"/>
      <c r="H121" s="371"/>
      <c r="I121" s="371"/>
      <c r="J121" s="329"/>
      <c r="K121" s="329"/>
    </row>
    <row r="122" spans="1:16" ht="22.8" x14ac:dyDescent="0.3">
      <c r="A122" s="329"/>
      <c r="B122" s="329"/>
      <c r="C122" s="329"/>
      <c r="D122" s="1649" t="s">
        <v>144</v>
      </c>
      <c r="E122" s="1650"/>
      <c r="F122" s="1650"/>
      <c r="G122" s="1650"/>
      <c r="H122" s="1650"/>
      <c r="I122" s="1650"/>
      <c r="J122" s="124" t="s">
        <v>10</v>
      </c>
      <c r="K122" s="125" t="s">
        <v>11</v>
      </c>
      <c r="L122" s="126" t="s">
        <v>12</v>
      </c>
    </row>
    <row r="123" spans="1:16" ht="15" customHeight="1" thickBot="1" x14ac:dyDescent="0.35">
      <c r="A123" s="329"/>
      <c r="B123" s="329"/>
      <c r="C123" s="329"/>
      <c r="D123" s="1659" t="s">
        <v>145</v>
      </c>
      <c r="E123" s="1660"/>
      <c r="F123" s="1660"/>
      <c r="G123" s="1660"/>
      <c r="H123" s="1660"/>
      <c r="I123" s="1660"/>
      <c r="J123" s="127"/>
      <c r="K123" s="128"/>
      <c r="L123" s="128"/>
    </row>
    <row r="124" spans="1:16" ht="15" customHeight="1" thickBot="1" x14ac:dyDescent="0.35">
      <c r="A124" s="329"/>
      <c r="B124" s="329"/>
      <c r="C124" s="329"/>
      <c r="D124" s="1632" t="s">
        <v>146</v>
      </c>
      <c r="E124" s="1633"/>
      <c r="F124" s="1633"/>
      <c r="G124" s="1633"/>
      <c r="H124" s="1633"/>
      <c r="I124" s="1633"/>
      <c r="J124" s="129">
        <f>J125+J131+J132</f>
        <v>2751.1000000000004</v>
      </c>
      <c r="K124" s="129">
        <f t="shared" ref="K124:L124" si="15">K125+K131+K132</f>
        <v>3360.2</v>
      </c>
      <c r="L124" s="129">
        <f t="shared" si="15"/>
        <v>3221.7999999999997</v>
      </c>
    </row>
    <row r="125" spans="1:16" ht="15" customHeight="1" x14ac:dyDescent="0.3">
      <c r="A125" s="373"/>
      <c r="B125" s="373"/>
      <c r="C125" s="373"/>
      <c r="D125" s="1645" t="s">
        <v>147</v>
      </c>
      <c r="E125" s="1646"/>
      <c r="F125" s="1646"/>
      <c r="G125" s="1646"/>
      <c r="H125" s="1646"/>
      <c r="I125" s="1646"/>
      <c r="J125" s="1047">
        <f>SUM(J126:J130)</f>
        <v>2380.1000000000004</v>
      </c>
      <c r="K125" s="1047">
        <f t="shared" ref="K125:L125" si="16">SUM(K126:K130)</f>
        <v>3358.5</v>
      </c>
      <c r="L125" s="1047">
        <f t="shared" si="16"/>
        <v>3220.1</v>
      </c>
    </row>
    <row r="126" spans="1:16" ht="15" customHeight="1" x14ac:dyDescent="0.3">
      <c r="A126" s="197"/>
      <c r="B126" s="197"/>
      <c r="C126" s="197"/>
      <c r="D126" s="1651" t="s">
        <v>148</v>
      </c>
      <c r="E126" s="1652"/>
      <c r="F126" s="1652"/>
      <c r="G126" s="1652"/>
      <c r="H126" s="1652"/>
      <c r="I126" s="1653"/>
      <c r="J126" s="455">
        <f>SUMIF($I13:$I119,"SBN",J13:J119)</f>
        <v>1795.4000000000003</v>
      </c>
      <c r="K126" s="455">
        <f>SUMIF($I13:$I119,"SBN",K13:K119)</f>
        <v>1847.4999999999998</v>
      </c>
      <c r="L126" s="455">
        <f>SUMIF($I13:$I119,"SBN",L13:L119)</f>
        <v>1856.6999999999998</v>
      </c>
      <c r="P126" s="528"/>
    </row>
    <row r="127" spans="1:16" ht="15" customHeight="1" x14ac:dyDescent="0.3">
      <c r="A127" s="197"/>
      <c r="B127" s="197"/>
      <c r="C127" s="197"/>
      <c r="D127" s="1635" t="s">
        <v>149</v>
      </c>
      <c r="E127" s="1636"/>
      <c r="F127" s="1636"/>
      <c r="G127" s="1636"/>
      <c r="H127" s="1636"/>
      <c r="I127" s="1637"/>
      <c r="J127" s="455">
        <f>SUMIF($I13:$I119,"VBD",J13:J119)</f>
        <v>389</v>
      </c>
      <c r="K127" s="455">
        <f>SUMIF($I13:$I119,"VBD",K13:K119)</f>
        <v>389</v>
      </c>
      <c r="L127" s="455">
        <f>SUMIF($I13:$I119,"VBD",L13:L119)</f>
        <v>389</v>
      </c>
    </row>
    <row r="128" spans="1:16" ht="15" customHeight="1" x14ac:dyDescent="0.3">
      <c r="A128" s="197"/>
      <c r="B128" s="197"/>
      <c r="C128" s="197"/>
      <c r="D128" s="1635" t="s">
        <v>150</v>
      </c>
      <c r="E128" s="1636"/>
      <c r="F128" s="1636"/>
      <c r="G128" s="1636"/>
      <c r="H128" s="1636"/>
      <c r="I128" s="1637"/>
      <c r="J128" s="455">
        <f>SUMIF($I13:$I119,"PĮ",J13:J119)</f>
        <v>0</v>
      </c>
      <c r="K128" s="455">
        <f>SUMIF($I13:$I119,"PĮ",K13:K119)</f>
        <v>0</v>
      </c>
      <c r="L128" s="455">
        <f>SUMIF($I13:$I119,"PĮ",L13:L119)</f>
        <v>0</v>
      </c>
    </row>
    <row r="129" spans="1:12" ht="15" customHeight="1" x14ac:dyDescent="0.3">
      <c r="A129" s="197"/>
      <c r="B129" s="197"/>
      <c r="C129" s="197"/>
      <c r="D129" s="1635" t="s">
        <v>151</v>
      </c>
      <c r="E129" s="1636"/>
      <c r="F129" s="1636"/>
      <c r="G129" s="1636"/>
      <c r="H129" s="1636"/>
      <c r="I129" s="1637"/>
      <c r="J129" s="455">
        <f>SUMIF($I13:$I119,"TPP",J13:J119)</f>
        <v>195.7</v>
      </c>
      <c r="K129" s="455">
        <f>SUMIF($I13:$I119,"TPP",K13:K119)</f>
        <v>156</v>
      </c>
      <c r="L129" s="455">
        <f>SUMIF($I13:$I119,"TPP",L13:L119)</f>
        <v>156</v>
      </c>
    </row>
    <row r="130" spans="1:12" ht="15.75" customHeight="1" x14ac:dyDescent="0.3">
      <c r="A130" s="197"/>
      <c r="B130" s="197"/>
      <c r="C130" s="197"/>
      <c r="D130" s="1635" t="s">
        <v>152</v>
      </c>
      <c r="E130" s="1636"/>
      <c r="F130" s="1636"/>
      <c r="G130" s="1636"/>
      <c r="H130" s="1636"/>
      <c r="I130" s="1637"/>
      <c r="J130" s="455">
        <f>SUMIF($I13:$I119,"ES",J13:J119)</f>
        <v>0</v>
      </c>
      <c r="K130" s="455">
        <f>SUMIF($I13:$I119,"ES",K13:K119)</f>
        <v>966</v>
      </c>
      <c r="L130" s="455">
        <f>SUMIF($I13:$I119,"ES",L13:L119)</f>
        <v>818.4</v>
      </c>
    </row>
    <row r="131" spans="1:12" ht="24.75" customHeight="1" x14ac:dyDescent="0.3">
      <c r="A131" s="197"/>
      <c r="B131" s="197"/>
      <c r="C131" s="197"/>
      <c r="D131" s="1635" t="s">
        <v>153</v>
      </c>
      <c r="E131" s="1636"/>
      <c r="F131" s="1636"/>
      <c r="G131" s="1636"/>
      <c r="H131" s="1636"/>
      <c r="I131" s="1637"/>
      <c r="J131" s="455">
        <f>SUMIF($I13:$I119,"SL",J13:J119)</f>
        <v>306.8</v>
      </c>
      <c r="K131" s="455">
        <f>SUMIF($I13:$I119,"SL",K13:K119)</f>
        <v>0</v>
      </c>
      <c r="L131" s="455">
        <f>SUMIF($I13:$I119,"SL",L13:L119)</f>
        <v>0</v>
      </c>
    </row>
    <row r="132" spans="1:12" ht="15.75" customHeight="1" thickBot="1" x14ac:dyDescent="0.35">
      <c r="A132" s="197"/>
      <c r="B132" s="197"/>
      <c r="C132" s="197"/>
      <c r="D132" s="1635" t="s">
        <v>154</v>
      </c>
      <c r="E132" s="1636"/>
      <c r="F132" s="1636"/>
      <c r="G132" s="1636"/>
      <c r="H132" s="1636"/>
      <c r="I132" s="1637"/>
      <c r="J132" s="255">
        <f>SUMIF($I13:$I119,"AML",J13:J119)</f>
        <v>64.200000000000017</v>
      </c>
      <c r="K132" s="255">
        <f>SUMIF($I13:$I119,"AML",K13:K119)</f>
        <v>1.7</v>
      </c>
      <c r="L132" s="255">
        <f>SUMIF($I13:$I119,"AML",L13:L119)</f>
        <v>1.7</v>
      </c>
    </row>
    <row r="133" spans="1:12" ht="15" customHeight="1" thickBot="1" x14ac:dyDescent="0.35">
      <c r="A133" s="197"/>
      <c r="B133" s="197"/>
      <c r="C133" s="197"/>
      <c r="D133" s="1632" t="s">
        <v>155</v>
      </c>
      <c r="E133" s="1633"/>
      <c r="F133" s="1633"/>
      <c r="G133" s="1633"/>
      <c r="H133" s="1633"/>
      <c r="I133" s="1634"/>
      <c r="J133" s="518">
        <v>0</v>
      </c>
      <c r="K133" s="518">
        <v>0</v>
      </c>
      <c r="L133" s="519">
        <v>0</v>
      </c>
    </row>
    <row r="134" spans="1:12" ht="30.75" customHeight="1" thickBot="1" x14ac:dyDescent="0.35">
      <c r="A134" s="197"/>
      <c r="B134" s="197"/>
      <c r="C134" s="197"/>
      <c r="D134" s="1629" t="s">
        <v>156</v>
      </c>
      <c r="E134" s="1630"/>
      <c r="F134" s="1630"/>
      <c r="G134" s="1630"/>
      <c r="H134" s="1630"/>
      <c r="I134" s="1631"/>
      <c r="J134" s="326">
        <v>0</v>
      </c>
      <c r="K134" s="326">
        <v>0</v>
      </c>
      <c r="L134" s="520">
        <v>0</v>
      </c>
    </row>
    <row r="135" spans="1:12" ht="15" customHeight="1" thickBot="1" x14ac:dyDescent="0.35">
      <c r="A135" s="197"/>
      <c r="B135" s="197"/>
      <c r="C135" s="197"/>
      <c r="D135" s="1632" t="s">
        <v>157</v>
      </c>
      <c r="E135" s="1633"/>
      <c r="F135" s="1633"/>
      <c r="G135" s="1633"/>
      <c r="H135" s="1633"/>
      <c r="I135" s="1634"/>
      <c r="J135" s="518">
        <f>J124+J133</f>
        <v>2751.1000000000004</v>
      </c>
      <c r="K135" s="518">
        <f t="shared" ref="K135:L135" si="17">K124+K133</f>
        <v>3360.2</v>
      </c>
      <c r="L135" s="518">
        <f t="shared" si="17"/>
        <v>3221.7999999999997</v>
      </c>
    </row>
    <row r="136" spans="1:12" ht="15" customHeight="1" thickBot="1" x14ac:dyDescent="0.35">
      <c r="A136" s="373"/>
      <c r="B136" s="373"/>
      <c r="C136" s="373"/>
      <c r="D136" s="1635" t="s">
        <v>158</v>
      </c>
      <c r="E136" s="1636"/>
      <c r="F136" s="1636"/>
      <c r="G136" s="1636"/>
      <c r="H136" s="1636"/>
      <c r="I136" s="1637"/>
      <c r="J136" s="94">
        <v>0</v>
      </c>
      <c r="K136" s="94">
        <v>0</v>
      </c>
      <c r="L136" s="521">
        <v>0</v>
      </c>
    </row>
    <row r="137" spans="1:12" x14ac:dyDescent="0.3">
      <c r="A137" s="329"/>
      <c r="B137" s="329"/>
      <c r="C137" s="329"/>
      <c r="D137" s="1626" t="s">
        <v>159</v>
      </c>
      <c r="E137" s="1627"/>
      <c r="F137" s="1627"/>
      <c r="G137" s="1627"/>
      <c r="H137" s="1627"/>
      <c r="I137" s="1628"/>
      <c r="J137" s="522">
        <f>J135</f>
        <v>2751.1000000000004</v>
      </c>
      <c r="K137" s="522">
        <f t="shared" ref="K137:L137" si="18">K135</f>
        <v>3360.2</v>
      </c>
      <c r="L137" s="522">
        <f t="shared" si="18"/>
        <v>3221.7999999999997</v>
      </c>
    </row>
    <row r="138" spans="1:12" x14ac:dyDescent="0.3">
      <c r="A138" s="329"/>
      <c r="B138" s="329"/>
      <c r="C138" s="329"/>
      <c r="D138" s="329"/>
      <c r="E138" s="374"/>
      <c r="F138" s="329"/>
      <c r="G138" s="329"/>
      <c r="H138" s="329"/>
      <c r="I138" s="329"/>
      <c r="J138" s="329"/>
      <c r="K138" s="329"/>
    </row>
    <row r="139" spans="1:12" x14ac:dyDescent="0.3">
      <c r="A139" s="329"/>
      <c r="B139" s="329"/>
      <c r="C139" s="329"/>
      <c r="D139" s="329"/>
      <c r="E139" s="374"/>
      <c r="F139" s="329"/>
      <c r="G139" s="329"/>
      <c r="H139" s="329"/>
      <c r="I139" s="329"/>
      <c r="J139" s="329"/>
      <c r="K139" s="329"/>
    </row>
    <row r="140" spans="1:12" x14ac:dyDescent="0.3">
      <c r="A140" s="329"/>
      <c r="B140" s="329"/>
      <c r="C140" s="329"/>
      <c r="D140" s="329"/>
      <c r="E140" s="374"/>
      <c r="F140" s="329"/>
      <c r="G140" s="329"/>
      <c r="H140" s="329"/>
      <c r="I140" s="329"/>
      <c r="J140" s="329"/>
      <c r="K140" s="329"/>
    </row>
    <row r="141" spans="1:12" x14ac:dyDescent="0.3">
      <c r="A141" s="329"/>
      <c r="B141" s="329"/>
      <c r="C141" s="329"/>
      <c r="D141" s="329"/>
      <c r="E141" s="374"/>
      <c r="F141" s="329"/>
      <c r="G141" s="329"/>
      <c r="H141" s="329"/>
      <c r="I141" s="329"/>
      <c r="J141" s="329"/>
      <c r="K141" s="329"/>
    </row>
  </sheetData>
  <mergeCells count="232">
    <mergeCell ref="A97:A99"/>
    <mergeCell ref="B97:B99"/>
    <mergeCell ref="C97:C99"/>
    <mergeCell ref="D97:D99"/>
    <mergeCell ref="E97:E99"/>
    <mergeCell ref="F97:F99"/>
    <mergeCell ref="G97:G99"/>
    <mergeCell ref="H97:H99"/>
    <mergeCell ref="D83:D84"/>
    <mergeCell ref="E83:E84"/>
    <mergeCell ref="F83:F84"/>
    <mergeCell ref="E85:E86"/>
    <mergeCell ref="F95:F96"/>
    <mergeCell ref="G95:G96"/>
    <mergeCell ref="E93:E94"/>
    <mergeCell ref="F91:F92"/>
    <mergeCell ref="F93:F94"/>
    <mergeCell ref="G93:G94"/>
    <mergeCell ref="C87:I87"/>
    <mergeCell ref="B88:I88"/>
    <mergeCell ref="E95:E96"/>
    <mergeCell ref="A85:A86"/>
    <mergeCell ref="E91:E92"/>
    <mergeCell ref="G85:G86"/>
    <mergeCell ref="B102:B104"/>
    <mergeCell ref="C102:C104"/>
    <mergeCell ref="D102:D104"/>
    <mergeCell ref="A105:A107"/>
    <mergeCell ref="B105:B107"/>
    <mergeCell ref="A38:A42"/>
    <mergeCell ref="B38:B42"/>
    <mergeCell ref="C38:C42"/>
    <mergeCell ref="D38:D42"/>
    <mergeCell ref="A43:A46"/>
    <mergeCell ref="D93:D94"/>
    <mergeCell ref="A95:A96"/>
    <mergeCell ref="A47:A48"/>
    <mergeCell ref="B95:B96"/>
    <mergeCell ref="A83:A84"/>
    <mergeCell ref="B83:B84"/>
    <mergeCell ref="C83:C84"/>
    <mergeCell ref="B47:B48"/>
    <mergeCell ref="C47:C48"/>
    <mergeCell ref="D47:D48"/>
    <mergeCell ref="A74:A77"/>
    <mergeCell ref="B74:B77"/>
    <mergeCell ref="C74:C77"/>
    <mergeCell ref="D74:D77"/>
    <mergeCell ref="D137:I137"/>
    <mergeCell ref="G91:G92"/>
    <mergeCell ref="A49:A52"/>
    <mergeCell ref="D85:D86"/>
    <mergeCell ref="C78:I78"/>
    <mergeCell ref="G83:G84"/>
    <mergeCell ref="G111:G113"/>
    <mergeCell ref="A108:A110"/>
    <mergeCell ref="B108:B110"/>
    <mergeCell ref="C108:C110"/>
    <mergeCell ref="D108:D110"/>
    <mergeCell ref="F108:F110"/>
    <mergeCell ref="A111:A113"/>
    <mergeCell ref="B111:B113"/>
    <mergeCell ref="A102:A104"/>
    <mergeCell ref="D105:D107"/>
    <mergeCell ref="A93:A94"/>
    <mergeCell ref="B93:B94"/>
    <mergeCell ref="C93:C94"/>
    <mergeCell ref="D111:D113"/>
    <mergeCell ref="C100:I100"/>
    <mergeCell ref="C105:C107"/>
    <mergeCell ref="D136:I136"/>
    <mergeCell ref="D135:I135"/>
    <mergeCell ref="J11:J12"/>
    <mergeCell ref="K11:K12"/>
    <mergeCell ref="H10:H12"/>
    <mergeCell ref="L11:L12"/>
    <mergeCell ref="I10:I12"/>
    <mergeCell ref="H16:H19"/>
    <mergeCell ref="H20:H23"/>
    <mergeCell ref="B20:B23"/>
    <mergeCell ref="C20:C23"/>
    <mergeCell ref="D20:D23"/>
    <mergeCell ref="G16:G19"/>
    <mergeCell ref="G20:G23"/>
    <mergeCell ref="B16:B19"/>
    <mergeCell ref="C16:C19"/>
    <mergeCell ref="D16:D19"/>
    <mergeCell ref="F16:F19"/>
    <mergeCell ref="F20:F23"/>
    <mergeCell ref="E16:E19"/>
    <mergeCell ref="E20:E23"/>
    <mergeCell ref="G10:G12"/>
    <mergeCell ref="D124:I124"/>
    <mergeCell ref="D127:I127"/>
    <mergeCell ref="F102:F104"/>
    <mergeCell ref="G102:G104"/>
    <mergeCell ref="H102:H104"/>
    <mergeCell ref="H105:H107"/>
    <mergeCell ref="E102:E104"/>
    <mergeCell ref="E105:E107"/>
    <mergeCell ref="F105:F107"/>
    <mergeCell ref="G105:G107"/>
    <mergeCell ref="D122:I122"/>
    <mergeCell ref="H108:H110"/>
    <mergeCell ref="G108:G110"/>
    <mergeCell ref="E108:E110"/>
    <mergeCell ref="C111:C113"/>
    <mergeCell ref="I1:L1"/>
    <mergeCell ref="I2:L2"/>
    <mergeCell ref="I6:L6"/>
    <mergeCell ref="A16:A19"/>
    <mergeCell ref="A20:A23"/>
    <mergeCell ref="H38:H42"/>
    <mergeCell ref="H43:H46"/>
    <mergeCell ref="H91:H92"/>
    <mergeCell ref="H93:H94"/>
    <mergeCell ref="H85:H86"/>
    <mergeCell ref="H47:H48"/>
    <mergeCell ref="A91:A92"/>
    <mergeCell ref="B91:B92"/>
    <mergeCell ref="C91:C92"/>
    <mergeCell ref="B8:K8"/>
    <mergeCell ref="A10:A12"/>
    <mergeCell ref="B10:B12"/>
    <mergeCell ref="C10:C12"/>
    <mergeCell ref="D10:D12"/>
    <mergeCell ref="D91:D92"/>
    <mergeCell ref="E47:E48"/>
    <mergeCell ref="H95:H96"/>
    <mergeCell ref="F49:F52"/>
    <mergeCell ref="D131:I131"/>
    <mergeCell ref="D133:I133"/>
    <mergeCell ref="D132:I132"/>
    <mergeCell ref="D134:I134"/>
    <mergeCell ref="D126:I126"/>
    <mergeCell ref="D125:I125"/>
    <mergeCell ref="E111:E113"/>
    <mergeCell ref="A114:A115"/>
    <mergeCell ref="B114:B115"/>
    <mergeCell ref="C114:C115"/>
    <mergeCell ref="D114:D115"/>
    <mergeCell ref="E114:E115"/>
    <mergeCell ref="F114:F115"/>
    <mergeCell ref="G114:G115"/>
    <mergeCell ref="H114:H115"/>
    <mergeCell ref="F111:F113"/>
    <mergeCell ref="H111:H113"/>
    <mergeCell ref="D130:I130"/>
    <mergeCell ref="D129:I129"/>
    <mergeCell ref="D128:I128"/>
    <mergeCell ref="D123:I123"/>
    <mergeCell ref="C116:I116"/>
    <mergeCell ref="B117:I117"/>
    <mergeCell ref="B118:I118"/>
    <mergeCell ref="C95:C96"/>
    <mergeCell ref="D95:D96"/>
    <mergeCell ref="F80:F82"/>
    <mergeCell ref="G80:G82"/>
    <mergeCell ref="H80:H82"/>
    <mergeCell ref="F53:F54"/>
    <mergeCell ref="F67:F68"/>
    <mergeCell ref="G53:G73"/>
    <mergeCell ref="F85:F86"/>
    <mergeCell ref="F74:F77"/>
    <mergeCell ref="G74:G77"/>
    <mergeCell ref="H53:H73"/>
    <mergeCell ref="H74:H77"/>
    <mergeCell ref="F59:F60"/>
    <mergeCell ref="F65:F66"/>
    <mergeCell ref="F56:F57"/>
    <mergeCell ref="F61:F62"/>
    <mergeCell ref="F63:F64"/>
    <mergeCell ref="F69:F70"/>
    <mergeCell ref="F71:F73"/>
    <mergeCell ref="A53:A73"/>
    <mergeCell ref="B53:B73"/>
    <mergeCell ref="B80:B82"/>
    <mergeCell ref="C80:C82"/>
    <mergeCell ref="D80:D82"/>
    <mergeCell ref="B85:B86"/>
    <mergeCell ref="C85:C86"/>
    <mergeCell ref="E53:E73"/>
    <mergeCell ref="C53:C73"/>
    <mergeCell ref="E74:E77"/>
    <mergeCell ref="D53:D73"/>
    <mergeCell ref="E80:E82"/>
    <mergeCell ref="C49:C52"/>
    <mergeCell ref="D49:D52"/>
    <mergeCell ref="G33:G35"/>
    <mergeCell ref="H33:H35"/>
    <mergeCell ref="F29:F32"/>
    <mergeCell ref="G43:G46"/>
    <mergeCell ref="G29:G32"/>
    <mergeCell ref="B43:B46"/>
    <mergeCell ref="C43:C46"/>
    <mergeCell ref="D43:D46"/>
    <mergeCell ref="F43:F46"/>
    <mergeCell ref="F38:F42"/>
    <mergeCell ref="G38:G42"/>
    <mergeCell ref="E38:E42"/>
    <mergeCell ref="E43:E46"/>
    <mergeCell ref="C36:I36"/>
    <mergeCell ref="F47:F48"/>
    <mergeCell ref="G47:G48"/>
    <mergeCell ref="B49:B52"/>
    <mergeCell ref="E49:E52"/>
    <mergeCell ref="G49:G52"/>
    <mergeCell ref="H49:H52"/>
    <mergeCell ref="I4:L4"/>
    <mergeCell ref="I3:L3"/>
    <mergeCell ref="A33:A35"/>
    <mergeCell ref="B33:B35"/>
    <mergeCell ref="C33:C35"/>
    <mergeCell ref="D33:D35"/>
    <mergeCell ref="E33:E35"/>
    <mergeCell ref="F33:F35"/>
    <mergeCell ref="H24:H28"/>
    <mergeCell ref="A24:A28"/>
    <mergeCell ref="B24:B28"/>
    <mergeCell ref="C24:C28"/>
    <mergeCell ref="D24:D28"/>
    <mergeCell ref="E24:E28"/>
    <mergeCell ref="F24:F28"/>
    <mergeCell ref="G24:G28"/>
    <mergeCell ref="A29:A32"/>
    <mergeCell ref="H29:H32"/>
    <mergeCell ref="B29:B32"/>
    <mergeCell ref="C29:C32"/>
    <mergeCell ref="D29:D32"/>
    <mergeCell ref="E29:E32"/>
    <mergeCell ref="E10:E12"/>
    <mergeCell ref="F10:F12"/>
  </mergeCells>
  <pageMargins left="0.7" right="0.7" top="0.75" bottom="0.75" header="0.3" footer="0.3"/>
  <pageSetup paperSize="9" scale="5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251"/>
  <sheetViews>
    <sheetView zoomScale="80" zoomScaleNormal="80" workbookViewId="0">
      <pane ySplit="12" topLeftCell="A109" activePane="bottomLeft" state="frozen"/>
      <selection pane="bottomLeft" activeCell="I6" sqref="I6:L6"/>
    </sheetView>
  </sheetViews>
  <sheetFormatPr defaultColWidth="9.109375" defaultRowHeight="14.4" x14ac:dyDescent="0.3"/>
  <cols>
    <col min="1" max="1" width="5.109375" style="19" customWidth="1"/>
    <col min="2" max="2" width="5.6640625" style="19" customWidth="1"/>
    <col min="3" max="3" width="5" style="19" customWidth="1"/>
    <col min="4" max="4" width="18.33203125" style="19" customWidth="1"/>
    <col min="5" max="5" width="6.109375" style="19" customWidth="1"/>
    <col min="6" max="6" width="19.109375" style="19" customWidth="1"/>
    <col min="7" max="7" width="16.5546875" style="19" customWidth="1"/>
    <col min="8" max="8" width="12.88671875" style="19" customWidth="1"/>
    <col min="9" max="9" width="9.109375" style="19" customWidth="1"/>
    <col min="10" max="10" width="9.33203125" style="21" bestFit="1" customWidth="1"/>
    <col min="11" max="12" width="9.109375" style="21"/>
    <col min="13" max="16384" width="9.109375" style="524"/>
  </cols>
  <sheetData>
    <row r="1" spans="1:12" ht="41.25" customHeight="1" x14ac:dyDescent="0.3">
      <c r="B1" s="197"/>
      <c r="C1" s="197"/>
      <c r="D1" s="197"/>
      <c r="E1" s="197"/>
      <c r="F1" s="197"/>
      <c r="G1" s="197"/>
      <c r="H1" s="197"/>
      <c r="I1" s="1521" t="s">
        <v>502</v>
      </c>
      <c r="J1" s="1521"/>
      <c r="K1" s="1521"/>
      <c r="L1" s="1521"/>
    </row>
    <row r="2" spans="1:12" ht="36.6" hidden="1" customHeight="1" x14ac:dyDescent="0.3">
      <c r="B2" s="1402"/>
      <c r="C2" s="1402"/>
      <c r="D2" s="1402"/>
      <c r="E2" s="1402"/>
      <c r="F2" s="1402"/>
      <c r="G2" s="1402"/>
      <c r="H2" s="1402"/>
      <c r="I2" s="1529" t="s">
        <v>513</v>
      </c>
      <c r="J2" s="1529"/>
      <c r="K2" s="1529"/>
      <c r="L2" s="1529"/>
    </row>
    <row r="3" spans="1:12" ht="43.2" hidden="1" customHeight="1" x14ac:dyDescent="0.3">
      <c r="B3" s="1402"/>
      <c r="C3" s="1402"/>
      <c r="D3" s="1402"/>
      <c r="E3" s="1402"/>
      <c r="F3" s="1402"/>
      <c r="G3" s="1402"/>
      <c r="H3" s="1402"/>
      <c r="I3" s="1529" t="s">
        <v>511</v>
      </c>
      <c r="J3" s="1529"/>
      <c r="K3" s="1529"/>
      <c r="L3" s="1529"/>
    </row>
    <row r="4" spans="1:12" ht="38.4" customHeight="1" x14ac:dyDescent="0.3">
      <c r="B4" s="1402"/>
      <c r="C4" s="1402"/>
      <c r="D4" s="1402"/>
      <c r="E4" s="1402"/>
      <c r="F4" s="1402"/>
      <c r="G4" s="1402"/>
      <c r="H4" s="1402"/>
      <c r="I4" s="1529" t="s">
        <v>517</v>
      </c>
      <c r="J4" s="1529"/>
      <c r="K4" s="1529"/>
      <c r="L4" s="1529"/>
    </row>
    <row r="5" spans="1:12" x14ac:dyDescent="0.3">
      <c r="B5" s="1402"/>
      <c r="C5" s="1402"/>
      <c r="D5" s="1402"/>
      <c r="E5" s="1402"/>
      <c r="F5" s="1402"/>
      <c r="G5" s="1402"/>
      <c r="H5" s="1402"/>
      <c r="I5" s="1402"/>
      <c r="J5" s="1402"/>
      <c r="K5" s="1402"/>
    </row>
    <row r="6" spans="1:12" ht="43.5" customHeight="1" x14ac:dyDescent="0.3">
      <c r="B6" s="1402"/>
      <c r="C6" s="1402"/>
      <c r="D6" s="1402"/>
      <c r="E6" s="1402"/>
      <c r="F6" s="1402"/>
      <c r="G6" s="1402"/>
      <c r="H6" s="1402"/>
      <c r="I6" s="1529" t="s">
        <v>504</v>
      </c>
      <c r="J6" s="1529"/>
      <c r="K6" s="1529"/>
      <c r="L6" s="1529"/>
    </row>
    <row r="7" spans="1:12" ht="18.75" customHeight="1" x14ac:dyDescent="0.3">
      <c r="B7" s="1402"/>
      <c r="C7" s="1402"/>
      <c r="D7" s="1402"/>
      <c r="E7" s="1402"/>
      <c r="F7" s="1402"/>
      <c r="G7" s="1402"/>
      <c r="H7" s="1402"/>
      <c r="I7" s="1402"/>
      <c r="J7" s="1402"/>
      <c r="K7" s="1402"/>
    </row>
    <row r="8" spans="1:12" ht="28.5" customHeight="1" x14ac:dyDescent="0.3">
      <c r="B8" s="1729" t="s">
        <v>359</v>
      </c>
      <c r="C8" s="1729"/>
      <c r="D8" s="1729"/>
      <c r="E8" s="1729"/>
      <c r="F8" s="1729"/>
      <c r="G8" s="1729"/>
      <c r="H8" s="1729"/>
      <c r="I8" s="1729"/>
      <c r="J8" s="1729"/>
      <c r="K8" s="1729"/>
      <c r="L8" s="1729"/>
    </row>
    <row r="9" spans="1:12" x14ac:dyDescent="0.3">
      <c r="B9" s="20"/>
      <c r="C9" s="20"/>
      <c r="D9" s="20"/>
      <c r="E9" s="20"/>
      <c r="F9" s="20"/>
      <c r="G9" s="20"/>
      <c r="H9" s="20"/>
      <c r="I9" s="20"/>
    </row>
    <row r="10" spans="1:12" ht="22.8" x14ac:dyDescent="0.3">
      <c r="A10" s="2076" t="s">
        <v>1</v>
      </c>
      <c r="B10" s="2078" t="s">
        <v>2</v>
      </c>
      <c r="C10" s="2078" t="s">
        <v>3</v>
      </c>
      <c r="D10" s="2080" t="s">
        <v>4</v>
      </c>
      <c r="E10" s="2082" t="s">
        <v>5</v>
      </c>
      <c r="F10" s="2082" t="s">
        <v>6</v>
      </c>
      <c r="G10" s="2082" t="s">
        <v>7</v>
      </c>
      <c r="H10" s="1518" t="s">
        <v>360</v>
      </c>
      <c r="I10" s="3077" t="s">
        <v>9</v>
      </c>
      <c r="J10" s="375" t="s">
        <v>10</v>
      </c>
      <c r="K10" s="375" t="s">
        <v>11</v>
      </c>
      <c r="L10" s="376" t="s">
        <v>12</v>
      </c>
    </row>
    <row r="11" spans="1:12" ht="15" customHeight="1" thickBot="1" x14ac:dyDescent="0.35">
      <c r="A11" s="2077"/>
      <c r="B11" s="2079"/>
      <c r="C11" s="2079"/>
      <c r="D11" s="2081"/>
      <c r="E11" s="2083"/>
      <c r="F11" s="2083"/>
      <c r="G11" s="2083"/>
      <c r="H11" s="2084"/>
      <c r="I11" s="3078"/>
      <c r="J11" s="3089" t="s">
        <v>13</v>
      </c>
      <c r="K11" s="3090" t="s">
        <v>13</v>
      </c>
      <c r="L11" s="3087" t="s">
        <v>13</v>
      </c>
    </row>
    <row r="12" spans="1:12" ht="46.5" customHeight="1" thickBot="1" x14ac:dyDescent="0.35">
      <c r="A12" s="2077"/>
      <c r="B12" s="2079"/>
      <c r="C12" s="2079"/>
      <c r="D12" s="2081"/>
      <c r="E12" s="2083"/>
      <c r="F12" s="2083"/>
      <c r="G12" s="2083"/>
      <c r="H12" s="2084"/>
      <c r="I12" s="3078"/>
      <c r="J12" s="3089"/>
      <c r="K12" s="3090"/>
      <c r="L12" s="3088"/>
    </row>
    <row r="13" spans="1:12" ht="15.75" customHeight="1" thickBot="1" x14ac:dyDescent="0.35">
      <c r="A13" s="2923" t="s">
        <v>361</v>
      </c>
      <c r="B13" s="2924"/>
      <c r="C13" s="2924"/>
      <c r="D13" s="2924"/>
      <c r="E13" s="2924"/>
      <c r="F13" s="2924"/>
      <c r="G13" s="2924"/>
      <c r="H13" s="2924"/>
      <c r="I13" s="2924"/>
      <c r="J13" s="2924"/>
      <c r="K13" s="2924"/>
      <c r="L13" s="2925"/>
    </row>
    <row r="14" spans="1:12" ht="15" thickBot="1" x14ac:dyDescent="0.35">
      <c r="A14" s="216" t="s">
        <v>15</v>
      </c>
      <c r="B14" s="377" t="s">
        <v>362</v>
      </c>
      <c r="C14" s="378"/>
      <c r="D14" s="378"/>
      <c r="E14" s="378"/>
      <c r="F14" s="378"/>
      <c r="G14" s="378"/>
      <c r="H14" s="378"/>
      <c r="I14" s="378"/>
      <c r="J14" s="379"/>
      <c r="K14" s="379"/>
      <c r="L14" s="380"/>
    </row>
    <row r="15" spans="1:12" ht="15.75" customHeight="1" thickBot="1" x14ac:dyDescent="0.35">
      <c r="A15" s="949" t="s">
        <v>15</v>
      </c>
      <c r="B15" s="950" t="s">
        <v>15</v>
      </c>
      <c r="C15" s="381" t="s">
        <v>363</v>
      </c>
      <c r="D15" s="382"/>
      <c r="E15" s="382"/>
      <c r="F15" s="383"/>
      <c r="G15" s="383"/>
      <c r="H15" s="382"/>
      <c r="I15" s="383"/>
      <c r="J15" s="384"/>
      <c r="K15" s="384"/>
      <c r="L15" s="385"/>
    </row>
    <row r="16" spans="1:12" ht="18" customHeight="1" thickBot="1" x14ac:dyDescent="0.35">
      <c r="A16" s="3099" t="s">
        <v>15</v>
      </c>
      <c r="B16" s="3064" t="s">
        <v>15</v>
      </c>
      <c r="C16" s="3062" t="s">
        <v>15</v>
      </c>
      <c r="D16" s="3106" t="s">
        <v>364</v>
      </c>
      <c r="E16" s="2374" t="s">
        <v>19</v>
      </c>
      <c r="F16" s="3084" t="s">
        <v>20</v>
      </c>
      <c r="G16" s="3122" t="s">
        <v>94</v>
      </c>
      <c r="H16" s="2139" t="s">
        <v>365</v>
      </c>
      <c r="I16" s="691" t="s">
        <v>23</v>
      </c>
      <c r="J16" s="235">
        <f>1381.2-43.1-69.3-30</f>
        <v>1238.8000000000002</v>
      </c>
      <c r="K16" s="235">
        <v>810</v>
      </c>
      <c r="L16" s="236">
        <v>810</v>
      </c>
    </row>
    <row r="17" spans="1:17" ht="17.25" customHeight="1" thickBot="1" x14ac:dyDescent="0.35">
      <c r="A17" s="3100"/>
      <c r="B17" s="3065"/>
      <c r="C17" s="3063"/>
      <c r="D17" s="3107"/>
      <c r="E17" s="2374"/>
      <c r="F17" s="2676"/>
      <c r="G17" s="3123"/>
      <c r="H17" s="2139"/>
      <c r="I17" s="574" t="s">
        <v>87</v>
      </c>
      <c r="J17" s="279">
        <f>2029.9+269.7+886.7</f>
        <v>3186.3</v>
      </c>
      <c r="K17" s="279">
        <v>2069.6999999999998</v>
      </c>
      <c r="L17" s="280">
        <v>2069.6999999999998</v>
      </c>
      <c r="N17" s="526"/>
      <c r="Q17" s="526"/>
    </row>
    <row r="18" spans="1:17" ht="17.25" customHeight="1" thickBot="1" x14ac:dyDescent="0.35">
      <c r="A18" s="3100"/>
      <c r="B18" s="3065"/>
      <c r="C18" s="3063"/>
      <c r="D18" s="3107"/>
      <c r="E18" s="2374"/>
      <c r="F18" s="2676"/>
      <c r="G18" s="3123"/>
      <c r="H18" s="2139"/>
      <c r="I18" s="636" t="s">
        <v>324</v>
      </c>
      <c r="J18" s="16">
        <f>0+788-392.9</f>
        <v>395.1</v>
      </c>
      <c r="K18" s="16">
        <v>0</v>
      </c>
      <c r="L18" s="242">
        <v>0</v>
      </c>
      <c r="N18" s="526"/>
      <c r="Q18" s="526"/>
    </row>
    <row r="19" spans="1:17" ht="17.25" customHeight="1" thickBot="1" x14ac:dyDescent="0.35">
      <c r="A19" s="3100"/>
      <c r="B19" s="3065"/>
      <c r="C19" s="3063"/>
      <c r="D19" s="3107"/>
      <c r="E19" s="2374"/>
      <c r="F19" s="2526"/>
      <c r="G19" s="3124"/>
      <c r="H19" s="2139"/>
      <c r="I19" s="582" t="s">
        <v>30</v>
      </c>
      <c r="J19" s="568">
        <v>0</v>
      </c>
      <c r="K19" s="568">
        <v>0</v>
      </c>
      <c r="L19" s="251">
        <v>0</v>
      </c>
    </row>
    <row r="20" spans="1:17" ht="25.5" customHeight="1" x14ac:dyDescent="0.3">
      <c r="A20" s="3100"/>
      <c r="B20" s="3065"/>
      <c r="C20" s="3063"/>
      <c r="D20" s="3107"/>
      <c r="E20" s="3117"/>
      <c r="F20" s="692" t="s">
        <v>129</v>
      </c>
      <c r="G20" s="3094" t="s">
        <v>130</v>
      </c>
      <c r="H20" s="2283"/>
      <c r="I20" s="693" t="s">
        <v>23</v>
      </c>
      <c r="J20" s="634">
        <f>129.7+33.2</f>
        <v>162.89999999999998</v>
      </c>
      <c r="K20" s="634">
        <v>129.69999999999999</v>
      </c>
      <c r="L20" s="575">
        <v>129.69999999999999</v>
      </c>
    </row>
    <row r="21" spans="1:17" ht="24" x14ac:dyDescent="0.3">
      <c r="A21" s="3100"/>
      <c r="B21" s="3065"/>
      <c r="C21" s="3063"/>
      <c r="D21" s="3107"/>
      <c r="E21" s="3117"/>
      <c r="F21" s="694" t="s">
        <v>131</v>
      </c>
      <c r="G21" s="2989"/>
      <c r="H21" s="2283"/>
      <c r="I21" s="576" t="s">
        <v>23</v>
      </c>
      <c r="J21" s="454">
        <f>45.3+2</f>
        <v>47.3</v>
      </c>
      <c r="K21" s="454">
        <v>45.3</v>
      </c>
      <c r="L21" s="1048">
        <v>45.3</v>
      </c>
    </row>
    <row r="22" spans="1:17" ht="13.5" customHeight="1" x14ac:dyDescent="0.3">
      <c r="A22" s="3100"/>
      <c r="B22" s="3065"/>
      <c r="C22" s="3063"/>
      <c r="D22" s="3107"/>
      <c r="E22" s="3117"/>
      <c r="F22" s="694" t="s">
        <v>132</v>
      </c>
      <c r="G22" s="2989"/>
      <c r="H22" s="2283"/>
      <c r="I22" s="576" t="s">
        <v>23</v>
      </c>
      <c r="J22" s="454">
        <f>4+30.2</f>
        <v>34.200000000000003</v>
      </c>
      <c r="K22" s="454">
        <v>4</v>
      </c>
      <c r="L22" s="1048">
        <v>4</v>
      </c>
    </row>
    <row r="23" spans="1:17" ht="16.5" customHeight="1" x14ac:dyDescent="0.3">
      <c r="A23" s="3100"/>
      <c r="B23" s="3065"/>
      <c r="C23" s="3063"/>
      <c r="D23" s="3107"/>
      <c r="E23" s="3117"/>
      <c r="F23" s="694" t="s">
        <v>133</v>
      </c>
      <c r="G23" s="2989"/>
      <c r="H23" s="2283"/>
      <c r="I23" s="576" t="s">
        <v>23</v>
      </c>
      <c r="J23" s="454">
        <v>70.900000000000006</v>
      </c>
      <c r="K23" s="454">
        <v>70.900000000000006</v>
      </c>
      <c r="L23" s="1048">
        <v>70.900000000000006</v>
      </c>
    </row>
    <row r="24" spans="1:17" ht="15" customHeight="1" x14ac:dyDescent="0.3">
      <c r="A24" s="3100"/>
      <c r="B24" s="3065"/>
      <c r="C24" s="3063"/>
      <c r="D24" s="3107"/>
      <c r="E24" s="3117"/>
      <c r="F24" s="694" t="s">
        <v>134</v>
      </c>
      <c r="G24" s="2989"/>
      <c r="H24" s="2283"/>
      <c r="I24" s="576" t="s">
        <v>23</v>
      </c>
      <c r="J24" s="454">
        <f>36.3+3.9</f>
        <v>40.199999999999996</v>
      </c>
      <c r="K24" s="454">
        <v>36.299999999999997</v>
      </c>
      <c r="L24" s="1048">
        <v>36.299999999999997</v>
      </c>
    </row>
    <row r="25" spans="1:17" ht="13.5" customHeight="1" x14ac:dyDescent="0.3">
      <c r="A25" s="3100"/>
      <c r="B25" s="3065"/>
      <c r="C25" s="3063"/>
      <c r="D25" s="3107"/>
      <c r="E25" s="3117"/>
      <c r="F25" s="694" t="s">
        <v>135</v>
      </c>
      <c r="G25" s="2989"/>
      <c r="H25" s="2283"/>
      <c r="I25" s="576" t="s">
        <v>23</v>
      </c>
      <c r="J25" s="454">
        <v>34.700000000000003</v>
      </c>
      <c r="K25" s="454">
        <v>34.700000000000003</v>
      </c>
      <c r="L25" s="1048">
        <v>34.700000000000003</v>
      </c>
    </row>
    <row r="26" spans="1:17" ht="12.75" customHeight="1" x14ac:dyDescent="0.3">
      <c r="A26" s="3100"/>
      <c r="B26" s="3065"/>
      <c r="C26" s="3063"/>
      <c r="D26" s="3107"/>
      <c r="E26" s="3117"/>
      <c r="F26" s="694" t="s">
        <v>136</v>
      </c>
      <c r="G26" s="2989"/>
      <c r="H26" s="2283"/>
      <c r="I26" s="294" t="s">
        <v>23</v>
      </c>
      <c r="J26" s="399">
        <f>21.1+6</f>
        <v>27.1</v>
      </c>
      <c r="K26" s="399">
        <v>21.1</v>
      </c>
      <c r="L26" s="641">
        <v>21.1</v>
      </c>
    </row>
    <row r="27" spans="1:17" ht="14.25" customHeight="1" x14ac:dyDescent="0.3">
      <c r="A27" s="3100"/>
      <c r="B27" s="3065"/>
      <c r="C27" s="3063"/>
      <c r="D27" s="3107"/>
      <c r="E27" s="3117"/>
      <c r="F27" s="2785" t="s">
        <v>137</v>
      </c>
      <c r="G27" s="2989"/>
      <c r="H27" s="2283"/>
      <c r="I27" s="574" t="s">
        <v>23</v>
      </c>
      <c r="J27" s="31">
        <f>78.9+12.5+18.15</f>
        <v>109.55000000000001</v>
      </c>
      <c r="K27" s="31">
        <v>78.900000000000006</v>
      </c>
      <c r="L27" s="575">
        <v>78.900000000000006</v>
      </c>
    </row>
    <row r="28" spans="1:17" ht="14.25" customHeight="1" x14ac:dyDescent="0.3">
      <c r="A28" s="3100"/>
      <c r="B28" s="3065"/>
      <c r="C28" s="3063"/>
      <c r="D28" s="3107"/>
      <c r="E28" s="3117"/>
      <c r="F28" s="2776"/>
      <c r="G28" s="2989"/>
      <c r="H28" s="2283"/>
      <c r="I28" s="582" t="s">
        <v>30</v>
      </c>
      <c r="J28" s="402">
        <v>0</v>
      </c>
      <c r="K28" s="402">
        <v>0</v>
      </c>
      <c r="L28" s="578">
        <v>0</v>
      </c>
    </row>
    <row r="29" spans="1:17" ht="14.25" customHeight="1" x14ac:dyDescent="0.3">
      <c r="A29" s="3100"/>
      <c r="B29" s="3065"/>
      <c r="C29" s="3063"/>
      <c r="D29" s="3107"/>
      <c r="E29" s="3117"/>
      <c r="F29" s="694" t="s">
        <v>138</v>
      </c>
      <c r="G29" s="2989"/>
      <c r="H29" s="2283"/>
      <c r="I29" s="693" t="s">
        <v>23</v>
      </c>
      <c r="J29" s="634">
        <f>39+52.4</f>
        <v>91.4</v>
      </c>
      <c r="K29" s="634">
        <v>39</v>
      </c>
      <c r="L29" s="1049">
        <v>39</v>
      </c>
    </row>
    <row r="30" spans="1:17" ht="25.5" customHeight="1" x14ac:dyDescent="0.3">
      <c r="A30" s="3100"/>
      <c r="B30" s="3065"/>
      <c r="C30" s="3063"/>
      <c r="D30" s="3107"/>
      <c r="E30" s="3117"/>
      <c r="F30" s="694" t="s">
        <v>139</v>
      </c>
      <c r="G30" s="2989"/>
      <c r="H30" s="2283"/>
      <c r="I30" s="576" t="s">
        <v>23</v>
      </c>
      <c r="J30" s="454">
        <f>125.1+18.1+12.1+8.5</f>
        <v>163.79999999999998</v>
      </c>
      <c r="K30" s="454">
        <v>125.1</v>
      </c>
      <c r="L30" s="1048">
        <v>125.1</v>
      </c>
    </row>
    <row r="31" spans="1:17" ht="15" customHeight="1" x14ac:dyDescent="0.3">
      <c r="A31" s="3100"/>
      <c r="B31" s="3065"/>
      <c r="C31" s="3063"/>
      <c r="D31" s="3107"/>
      <c r="E31" s="3117"/>
      <c r="F31" s="3113" t="s">
        <v>140</v>
      </c>
      <c r="G31" s="2989"/>
      <c r="H31" s="2283"/>
      <c r="I31" s="582" t="s">
        <v>23</v>
      </c>
      <c r="J31" s="402">
        <f>198.7-25</f>
        <v>173.7</v>
      </c>
      <c r="K31" s="402">
        <v>198.7</v>
      </c>
      <c r="L31" s="578">
        <v>198.7</v>
      </c>
    </row>
    <row r="32" spans="1:17" ht="15" customHeight="1" x14ac:dyDescent="0.3">
      <c r="A32" s="3100"/>
      <c r="B32" s="3065"/>
      <c r="C32" s="3063"/>
      <c r="D32" s="3107"/>
      <c r="E32" s="3118"/>
      <c r="F32" s="2777"/>
      <c r="G32" s="3095"/>
      <c r="H32" s="3096"/>
      <c r="I32" s="635" t="s">
        <v>24</v>
      </c>
      <c r="J32" s="546">
        <f>SUM(J16:J31)</f>
        <v>5775.95</v>
      </c>
      <c r="K32" s="546">
        <f t="shared" ref="K32:L32" si="0">SUM(K16:K31)</f>
        <v>3663.3999999999996</v>
      </c>
      <c r="L32" s="272">
        <f t="shared" si="0"/>
        <v>3663.3999999999996</v>
      </c>
    </row>
    <row r="33" spans="1:12" ht="13.5" customHeight="1" x14ac:dyDescent="0.3">
      <c r="A33" s="2635" t="s">
        <v>15</v>
      </c>
      <c r="B33" s="3108" t="s">
        <v>15</v>
      </c>
      <c r="C33" s="2408" t="s">
        <v>25</v>
      </c>
      <c r="D33" s="3109" t="s">
        <v>366</v>
      </c>
      <c r="E33" s="3104" t="s">
        <v>177</v>
      </c>
      <c r="F33" s="3084" t="s">
        <v>20</v>
      </c>
      <c r="G33" s="3097" t="s">
        <v>94</v>
      </c>
      <c r="H33" s="2258" t="s">
        <v>367</v>
      </c>
      <c r="I33" s="695" t="s">
        <v>23</v>
      </c>
      <c r="J33" s="426">
        <f>20-13.2-2.5+0.03-0.5</f>
        <v>3.830000000000001</v>
      </c>
      <c r="K33" s="426">
        <v>20</v>
      </c>
      <c r="L33" s="45">
        <v>20</v>
      </c>
    </row>
    <row r="34" spans="1:12" x14ac:dyDescent="0.3">
      <c r="A34" s="2636"/>
      <c r="B34" s="2446"/>
      <c r="C34" s="2408"/>
      <c r="D34" s="3109"/>
      <c r="E34" s="1559"/>
      <c r="F34" s="2676"/>
      <c r="G34" s="3098"/>
      <c r="H34" s="2537"/>
      <c r="I34" s="488" t="s">
        <v>24</v>
      </c>
      <c r="J34" s="427">
        <f>SUM(J33)</f>
        <v>3.830000000000001</v>
      </c>
      <c r="K34" s="427">
        <f t="shared" ref="K34:L34" si="1">SUM(K33)</f>
        <v>20</v>
      </c>
      <c r="L34" s="4">
        <f t="shared" si="1"/>
        <v>20</v>
      </c>
    </row>
    <row r="35" spans="1:12" ht="51" customHeight="1" x14ac:dyDescent="0.3">
      <c r="A35" s="3101" t="s">
        <v>15</v>
      </c>
      <c r="B35" s="1927" t="s">
        <v>15</v>
      </c>
      <c r="C35" s="1925" t="s">
        <v>27</v>
      </c>
      <c r="D35" s="1921" t="s">
        <v>368</v>
      </c>
      <c r="E35" s="3083" t="s">
        <v>177</v>
      </c>
      <c r="F35" s="3084" t="s">
        <v>20</v>
      </c>
      <c r="G35" s="3085" t="s">
        <v>178</v>
      </c>
      <c r="H35" s="3069" t="s">
        <v>369</v>
      </c>
      <c r="I35" s="570" t="s">
        <v>23</v>
      </c>
      <c r="J35" s="455">
        <f>7.2-0.5</f>
        <v>6.7</v>
      </c>
      <c r="K35" s="455">
        <v>0</v>
      </c>
      <c r="L35" s="455">
        <v>0</v>
      </c>
    </row>
    <row r="36" spans="1:12" ht="25.5" customHeight="1" thickBot="1" x14ac:dyDescent="0.35">
      <c r="A36" s="3102"/>
      <c r="B36" s="3066"/>
      <c r="C36" s="3074"/>
      <c r="D36" s="3103"/>
      <c r="E36" s="1560"/>
      <c r="F36" s="2526"/>
      <c r="G36" s="3086"/>
      <c r="H36" s="3070"/>
      <c r="I36" s="696" t="s">
        <v>24</v>
      </c>
      <c r="J36" s="213">
        <f>SUM(J35:J35)</f>
        <v>6.7</v>
      </c>
      <c r="K36" s="213">
        <f>SUM(K35:K35)</f>
        <v>0</v>
      </c>
      <c r="L36" s="213">
        <f>SUM(L35:L35)</f>
        <v>0</v>
      </c>
    </row>
    <row r="37" spans="1:12" x14ac:dyDescent="0.3">
      <c r="A37" s="218" t="s">
        <v>15</v>
      </c>
      <c r="B37" s="386" t="s">
        <v>15</v>
      </c>
      <c r="C37" s="3029" t="s">
        <v>80</v>
      </c>
      <c r="D37" s="3029"/>
      <c r="E37" s="3029"/>
      <c r="F37" s="3029"/>
      <c r="G37" s="3029"/>
      <c r="H37" s="3029"/>
      <c r="I37" s="3091"/>
      <c r="J37" s="387">
        <f>J32+J34+J36</f>
        <v>5786.48</v>
      </c>
      <c r="K37" s="387">
        <f>K32+K34+K36</f>
        <v>3683.3999999999996</v>
      </c>
      <c r="L37" s="388">
        <f>L32+L34+L36</f>
        <v>3683.3999999999996</v>
      </c>
    </row>
    <row r="38" spans="1:12" x14ac:dyDescent="0.3">
      <c r="A38" s="181" t="s">
        <v>15</v>
      </c>
      <c r="B38" s="79" t="s">
        <v>25</v>
      </c>
      <c r="C38" s="389" t="s">
        <v>370</v>
      </c>
      <c r="D38" s="382"/>
      <c r="E38" s="382"/>
      <c r="F38" s="382"/>
      <c r="G38" s="382"/>
      <c r="H38" s="382"/>
      <c r="I38" s="382"/>
      <c r="J38" s="390"/>
      <c r="K38" s="390"/>
      <c r="L38" s="391"/>
    </row>
    <row r="39" spans="1:12" ht="33.6" customHeight="1" x14ac:dyDescent="0.3">
      <c r="A39" s="216" t="s">
        <v>15</v>
      </c>
      <c r="B39" s="217" t="s">
        <v>25</v>
      </c>
      <c r="C39" s="2279" t="s">
        <v>15</v>
      </c>
      <c r="D39" s="2230" t="s">
        <v>371</v>
      </c>
      <c r="E39" s="2374" t="s">
        <v>177</v>
      </c>
      <c r="F39" s="633" t="s">
        <v>20</v>
      </c>
      <c r="G39" s="697" t="s">
        <v>94</v>
      </c>
      <c r="H39" s="3136" t="s">
        <v>372</v>
      </c>
      <c r="I39" s="392" t="s">
        <v>23</v>
      </c>
      <c r="J39" s="393">
        <v>0</v>
      </c>
      <c r="K39" s="393">
        <v>0</v>
      </c>
      <c r="L39" s="394">
        <v>0</v>
      </c>
    </row>
    <row r="40" spans="1:12" ht="20.25" customHeight="1" x14ac:dyDescent="0.3">
      <c r="A40" s="181"/>
      <c r="B40" s="278"/>
      <c r="C40" s="2279"/>
      <c r="D40" s="2230"/>
      <c r="E40" s="2374"/>
      <c r="F40" s="3110" t="s">
        <v>129</v>
      </c>
      <c r="G40" s="3133" t="s">
        <v>130</v>
      </c>
      <c r="H40" s="3136"/>
      <c r="I40" s="395" t="s">
        <v>23</v>
      </c>
      <c r="J40" s="396">
        <v>163.4</v>
      </c>
      <c r="K40" s="396">
        <v>163.4</v>
      </c>
      <c r="L40" s="1022">
        <v>163.4</v>
      </c>
    </row>
    <row r="41" spans="1:12" ht="20.25" customHeight="1" x14ac:dyDescent="0.3">
      <c r="A41" s="181"/>
      <c r="B41" s="278"/>
      <c r="C41" s="2279"/>
      <c r="D41" s="2230"/>
      <c r="E41" s="2374"/>
      <c r="F41" s="1539"/>
      <c r="G41" s="3134"/>
      <c r="H41" s="3136"/>
      <c r="I41" s="398" t="s">
        <v>30</v>
      </c>
      <c r="J41" s="399">
        <v>0.8</v>
      </c>
      <c r="K41" s="399">
        <v>0</v>
      </c>
      <c r="L41" s="578">
        <v>0</v>
      </c>
    </row>
    <row r="42" spans="1:12" ht="20.25" customHeight="1" x14ac:dyDescent="0.3">
      <c r="A42" s="181"/>
      <c r="B42" s="278"/>
      <c r="C42" s="2279"/>
      <c r="D42" s="2230"/>
      <c r="E42" s="2374"/>
      <c r="F42" s="1538" t="s">
        <v>131</v>
      </c>
      <c r="G42" s="3134"/>
      <c r="H42" s="3136"/>
      <c r="I42" s="395" t="s">
        <v>23</v>
      </c>
      <c r="J42" s="31">
        <f>80+30</f>
        <v>110</v>
      </c>
      <c r="K42" s="31">
        <v>80</v>
      </c>
      <c r="L42" s="579">
        <v>80</v>
      </c>
    </row>
    <row r="43" spans="1:12" x14ac:dyDescent="0.3">
      <c r="A43" s="181"/>
      <c r="B43" s="278"/>
      <c r="C43" s="2279"/>
      <c r="D43" s="2230"/>
      <c r="E43" s="2374"/>
      <c r="F43" s="3111"/>
      <c r="G43" s="3134"/>
      <c r="H43" s="3136"/>
      <c r="I43" s="398" t="s">
        <v>30</v>
      </c>
      <c r="J43" s="399">
        <v>1.5</v>
      </c>
      <c r="K43" s="399">
        <v>0</v>
      </c>
      <c r="L43" s="400">
        <v>0</v>
      </c>
    </row>
    <row r="44" spans="1:12" x14ac:dyDescent="0.3">
      <c r="A44" s="181"/>
      <c r="B44" s="278"/>
      <c r="C44" s="2279"/>
      <c r="D44" s="2230"/>
      <c r="E44" s="2374"/>
      <c r="F44" s="3112" t="s">
        <v>132</v>
      </c>
      <c r="G44" s="3134"/>
      <c r="H44" s="3136"/>
      <c r="I44" s="395" t="s">
        <v>23</v>
      </c>
      <c r="J44" s="31">
        <v>124.3</v>
      </c>
      <c r="K44" s="31">
        <v>124.3</v>
      </c>
      <c r="L44" s="32">
        <v>124.3</v>
      </c>
    </row>
    <row r="45" spans="1:12" x14ac:dyDescent="0.3">
      <c r="A45" s="181"/>
      <c r="B45" s="278"/>
      <c r="C45" s="2279"/>
      <c r="D45" s="2230"/>
      <c r="E45" s="2374"/>
      <c r="F45" s="3111"/>
      <c r="G45" s="3134"/>
      <c r="H45" s="3136"/>
      <c r="I45" s="398" t="s">
        <v>30</v>
      </c>
      <c r="J45" s="399">
        <v>1.1000000000000001</v>
      </c>
      <c r="K45" s="399">
        <v>0</v>
      </c>
      <c r="L45" s="400">
        <v>0</v>
      </c>
    </row>
    <row r="46" spans="1:12" x14ac:dyDescent="0.3">
      <c r="A46" s="181"/>
      <c r="B46" s="278"/>
      <c r="C46" s="2279"/>
      <c r="D46" s="2230"/>
      <c r="E46" s="2374"/>
      <c r="F46" s="3112" t="s">
        <v>133</v>
      </c>
      <c r="G46" s="3134"/>
      <c r="H46" s="3136"/>
      <c r="I46" s="395" t="s">
        <v>23</v>
      </c>
      <c r="J46" s="31">
        <f>29.4-0.3-1.6</f>
        <v>27.499999999999996</v>
      </c>
      <c r="K46" s="31">
        <v>29.4</v>
      </c>
      <c r="L46" s="575">
        <v>29.4</v>
      </c>
    </row>
    <row r="47" spans="1:12" x14ac:dyDescent="0.3">
      <c r="A47" s="181"/>
      <c r="B47" s="278"/>
      <c r="C47" s="2279"/>
      <c r="D47" s="2230"/>
      <c r="E47" s="2374"/>
      <c r="F47" s="3111"/>
      <c r="G47" s="3134"/>
      <c r="H47" s="3136"/>
      <c r="I47" s="398" t="s">
        <v>30</v>
      </c>
      <c r="J47" s="399">
        <v>0.2</v>
      </c>
      <c r="K47" s="399">
        <v>0</v>
      </c>
      <c r="L47" s="578">
        <v>0</v>
      </c>
    </row>
    <row r="48" spans="1:12" x14ac:dyDescent="0.3">
      <c r="A48" s="181"/>
      <c r="B48" s="278"/>
      <c r="C48" s="2279"/>
      <c r="D48" s="2230"/>
      <c r="E48" s="2374"/>
      <c r="F48" s="3112" t="s">
        <v>134</v>
      </c>
      <c r="G48" s="3134"/>
      <c r="H48" s="3136"/>
      <c r="I48" s="395" t="s">
        <v>23</v>
      </c>
      <c r="J48" s="31">
        <f>171.5-2.1</f>
        <v>169.4</v>
      </c>
      <c r="K48" s="31">
        <v>171.5</v>
      </c>
      <c r="L48" s="1049">
        <v>171.5</v>
      </c>
    </row>
    <row r="49" spans="1:12" x14ac:dyDescent="0.3">
      <c r="A49" s="181"/>
      <c r="B49" s="278"/>
      <c r="C49" s="2279"/>
      <c r="D49" s="2230"/>
      <c r="E49" s="2374"/>
      <c r="F49" s="3111"/>
      <c r="G49" s="3134"/>
      <c r="H49" s="3136"/>
      <c r="I49" s="398" t="s">
        <v>30</v>
      </c>
      <c r="J49" s="399">
        <v>1.1000000000000001</v>
      </c>
      <c r="K49" s="399">
        <v>0</v>
      </c>
      <c r="L49" s="641">
        <v>0</v>
      </c>
    </row>
    <row r="50" spans="1:12" x14ac:dyDescent="0.3">
      <c r="A50" s="181"/>
      <c r="B50" s="278"/>
      <c r="C50" s="2279"/>
      <c r="D50" s="2230"/>
      <c r="E50" s="2374"/>
      <c r="F50" s="3112" t="s">
        <v>135</v>
      </c>
      <c r="G50" s="3134"/>
      <c r="H50" s="3136"/>
      <c r="I50" s="395" t="s">
        <v>23</v>
      </c>
      <c r="J50" s="31">
        <v>32.700000000000003</v>
      </c>
      <c r="K50" s="31">
        <v>32.700000000000003</v>
      </c>
      <c r="L50" s="575">
        <v>32.700000000000003</v>
      </c>
    </row>
    <row r="51" spans="1:12" x14ac:dyDescent="0.3">
      <c r="A51" s="181"/>
      <c r="B51" s="278"/>
      <c r="C51" s="2279"/>
      <c r="D51" s="2230"/>
      <c r="E51" s="2374"/>
      <c r="F51" s="3111"/>
      <c r="G51" s="3134"/>
      <c r="H51" s="3136"/>
      <c r="I51" s="398" t="s">
        <v>30</v>
      </c>
      <c r="J51" s="399">
        <v>0</v>
      </c>
      <c r="K51" s="399">
        <v>0</v>
      </c>
      <c r="L51" s="641">
        <v>0</v>
      </c>
    </row>
    <row r="52" spans="1:12" x14ac:dyDescent="0.3">
      <c r="A52" s="181"/>
      <c r="B52" s="278"/>
      <c r="C52" s="2279"/>
      <c r="D52" s="2230"/>
      <c r="E52" s="2374"/>
      <c r="F52" s="3112" t="s">
        <v>136</v>
      </c>
      <c r="G52" s="3134"/>
      <c r="H52" s="3136"/>
      <c r="I52" s="395" t="s">
        <v>23</v>
      </c>
      <c r="J52" s="31">
        <f>29.8-9.4</f>
        <v>20.399999999999999</v>
      </c>
      <c r="K52" s="31">
        <v>29.8</v>
      </c>
      <c r="L52" s="575">
        <v>29.8</v>
      </c>
    </row>
    <row r="53" spans="1:12" x14ac:dyDescent="0.3">
      <c r="A53" s="181"/>
      <c r="B53" s="278"/>
      <c r="C53" s="2279"/>
      <c r="D53" s="2230"/>
      <c r="E53" s="2374"/>
      <c r="F53" s="3111"/>
      <c r="G53" s="3134"/>
      <c r="H53" s="3136"/>
      <c r="I53" s="398" t="s">
        <v>30</v>
      </c>
      <c r="J53" s="399">
        <v>0.1</v>
      </c>
      <c r="K53" s="399">
        <v>0</v>
      </c>
      <c r="L53" s="578">
        <v>0</v>
      </c>
    </row>
    <row r="54" spans="1:12" x14ac:dyDescent="0.3">
      <c r="A54" s="181"/>
      <c r="B54" s="278"/>
      <c r="C54" s="2279"/>
      <c r="D54" s="2230"/>
      <c r="E54" s="2374"/>
      <c r="F54" s="3112" t="s">
        <v>137</v>
      </c>
      <c r="G54" s="3134"/>
      <c r="H54" s="3136"/>
      <c r="I54" s="395" t="s">
        <v>23</v>
      </c>
      <c r="J54" s="31">
        <v>89.9</v>
      </c>
      <c r="K54" s="31">
        <v>89.9</v>
      </c>
      <c r="L54" s="1049">
        <v>89.9</v>
      </c>
    </row>
    <row r="55" spans="1:12" x14ac:dyDescent="0.3">
      <c r="A55" s="181"/>
      <c r="B55" s="278"/>
      <c r="C55" s="2279"/>
      <c r="D55" s="2230"/>
      <c r="E55" s="2374"/>
      <c r="F55" s="3111"/>
      <c r="G55" s="3134"/>
      <c r="H55" s="3136"/>
      <c r="I55" s="398" t="s">
        <v>30</v>
      </c>
      <c r="J55" s="399">
        <v>4.2</v>
      </c>
      <c r="K55" s="399">
        <v>0</v>
      </c>
      <c r="L55" s="641">
        <v>0</v>
      </c>
    </row>
    <row r="56" spans="1:12" x14ac:dyDescent="0.3">
      <c r="A56" s="181"/>
      <c r="B56" s="278"/>
      <c r="C56" s="2279"/>
      <c r="D56" s="2230"/>
      <c r="E56" s="2374"/>
      <c r="F56" s="3112" t="s">
        <v>138</v>
      </c>
      <c r="G56" s="3134"/>
      <c r="H56" s="3136"/>
      <c r="I56" s="395" t="s">
        <v>23</v>
      </c>
      <c r="J56" s="31">
        <f>83.8-2</f>
        <v>81.8</v>
      </c>
      <c r="K56" s="31">
        <v>83.8</v>
      </c>
      <c r="L56" s="575">
        <v>83.8</v>
      </c>
    </row>
    <row r="57" spans="1:12" x14ac:dyDescent="0.3">
      <c r="A57" s="181"/>
      <c r="B57" s="278"/>
      <c r="C57" s="2279"/>
      <c r="D57" s="2230"/>
      <c r="E57" s="2374"/>
      <c r="F57" s="3111"/>
      <c r="G57" s="3134"/>
      <c r="H57" s="3136"/>
      <c r="I57" s="398" t="s">
        <v>30</v>
      </c>
      <c r="J57" s="399">
        <v>0.5</v>
      </c>
      <c r="K57" s="399">
        <v>0</v>
      </c>
      <c r="L57" s="641">
        <v>0</v>
      </c>
    </row>
    <row r="58" spans="1:12" ht="20.25" customHeight="1" x14ac:dyDescent="0.3">
      <c r="A58" s="181"/>
      <c r="B58" s="278"/>
      <c r="C58" s="2279"/>
      <c r="D58" s="2230"/>
      <c r="E58" s="2374"/>
      <c r="F58" s="3112" t="s">
        <v>139</v>
      </c>
      <c r="G58" s="3134"/>
      <c r="H58" s="3136"/>
      <c r="I58" s="395" t="s">
        <v>23</v>
      </c>
      <c r="J58" s="31">
        <f>43.1+12.9</f>
        <v>56</v>
      </c>
      <c r="K58" s="31">
        <v>43.1</v>
      </c>
      <c r="L58" s="575">
        <v>43.1</v>
      </c>
    </row>
    <row r="59" spans="1:12" x14ac:dyDescent="0.3">
      <c r="A59" s="181"/>
      <c r="B59" s="278"/>
      <c r="C59" s="2279"/>
      <c r="D59" s="2230"/>
      <c r="E59" s="2374"/>
      <c r="F59" s="3111"/>
      <c r="G59" s="3134"/>
      <c r="H59" s="3136"/>
      <c r="I59" s="398" t="s">
        <v>30</v>
      </c>
      <c r="J59" s="399">
        <v>0.5</v>
      </c>
      <c r="K59" s="399">
        <v>0</v>
      </c>
      <c r="L59" s="641">
        <v>0</v>
      </c>
    </row>
    <row r="60" spans="1:12" x14ac:dyDescent="0.3">
      <c r="A60" s="181"/>
      <c r="B60" s="278"/>
      <c r="C60" s="2279"/>
      <c r="D60" s="2230"/>
      <c r="E60" s="2374"/>
      <c r="F60" s="3112" t="s">
        <v>140</v>
      </c>
      <c r="G60" s="3134"/>
      <c r="H60" s="3136"/>
      <c r="I60" s="395" t="s">
        <v>23</v>
      </c>
      <c r="J60" s="31">
        <f>102.7+23-1.2</f>
        <v>124.5</v>
      </c>
      <c r="K60" s="31">
        <v>102.7</v>
      </c>
      <c r="L60" s="575">
        <v>102.7</v>
      </c>
    </row>
    <row r="61" spans="1:12" x14ac:dyDescent="0.3">
      <c r="A61" s="181"/>
      <c r="B61" s="278"/>
      <c r="C61" s="2279"/>
      <c r="D61" s="2230"/>
      <c r="E61" s="2374"/>
      <c r="F61" s="1538"/>
      <c r="G61" s="3134"/>
      <c r="H61" s="3136"/>
      <c r="I61" s="401" t="s">
        <v>30</v>
      </c>
      <c r="J61" s="402">
        <v>2.7</v>
      </c>
      <c r="K61" s="402">
        <v>0</v>
      </c>
      <c r="L61" s="578">
        <v>0</v>
      </c>
    </row>
    <row r="62" spans="1:12" x14ac:dyDescent="0.3">
      <c r="A62" s="181"/>
      <c r="B62" s="278"/>
      <c r="C62" s="2279"/>
      <c r="D62" s="2230"/>
      <c r="E62" s="2374"/>
      <c r="F62" s="1538"/>
      <c r="G62" s="3135"/>
      <c r="H62" s="3136"/>
      <c r="I62" s="698" t="s">
        <v>24</v>
      </c>
      <c r="J62" s="699">
        <f>SUM(J39:J61)</f>
        <v>1012.6000000000001</v>
      </c>
      <c r="K62" s="699">
        <f t="shared" ref="K62:L62" si="2">SUM(K39:K61)</f>
        <v>950.59999999999991</v>
      </c>
      <c r="L62" s="478">
        <f t="shared" si="2"/>
        <v>950.59999999999991</v>
      </c>
    </row>
    <row r="63" spans="1:12" ht="15" customHeight="1" x14ac:dyDescent="0.3">
      <c r="A63" s="216" t="s">
        <v>15</v>
      </c>
      <c r="B63" s="403" t="s">
        <v>25</v>
      </c>
      <c r="C63" s="3079" t="s">
        <v>25</v>
      </c>
      <c r="D63" s="3081" t="s">
        <v>373</v>
      </c>
      <c r="E63" s="3083" t="s">
        <v>19</v>
      </c>
      <c r="F63" s="3092" t="s">
        <v>20</v>
      </c>
      <c r="G63" s="3131" t="s">
        <v>94</v>
      </c>
      <c r="H63" s="3075" t="s">
        <v>22</v>
      </c>
      <c r="I63" s="404" t="s">
        <v>23</v>
      </c>
      <c r="J63" s="405">
        <v>30</v>
      </c>
      <c r="K63" s="165">
        <v>30</v>
      </c>
      <c r="L63" s="406">
        <v>30</v>
      </c>
    </row>
    <row r="64" spans="1:12" x14ac:dyDescent="0.3">
      <c r="A64" s="218"/>
      <c r="B64" s="407"/>
      <c r="C64" s="3080"/>
      <c r="D64" s="3082"/>
      <c r="E64" s="3105"/>
      <c r="F64" s="3093"/>
      <c r="G64" s="3132"/>
      <c r="H64" s="3076"/>
      <c r="I64" s="408" t="s">
        <v>24</v>
      </c>
      <c r="J64" s="409">
        <f>SUM(J63:J63)</f>
        <v>30</v>
      </c>
      <c r="K64" s="410">
        <f>SUM(K63:K63)</f>
        <v>30</v>
      </c>
      <c r="L64" s="411">
        <f>SUM(L63:L63)</f>
        <v>30</v>
      </c>
    </row>
    <row r="65" spans="1:14" x14ac:dyDescent="0.3">
      <c r="A65" s="76" t="s">
        <v>15</v>
      </c>
      <c r="B65" s="77" t="s">
        <v>25</v>
      </c>
      <c r="C65" s="2035" t="s">
        <v>80</v>
      </c>
      <c r="D65" s="2035"/>
      <c r="E65" s="2035"/>
      <c r="F65" s="2035"/>
      <c r="G65" s="2035"/>
      <c r="H65" s="2035"/>
      <c r="I65" s="2035"/>
      <c r="J65" s="412">
        <f>J62+J64</f>
        <v>1042.6000000000001</v>
      </c>
      <c r="K65" s="413">
        <f>K62+K64</f>
        <v>980.59999999999991</v>
      </c>
      <c r="L65" s="414">
        <f>L62+L64</f>
        <v>980.59999999999991</v>
      </c>
    </row>
    <row r="66" spans="1:14" ht="23.25" customHeight="1" thickBot="1" x14ac:dyDescent="0.35">
      <c r="A66" s="181" t="s">
        <v>15</v>
      </c>
      <c r="B66" s="77" t="s">
        <v>27</v>
      </c>
      <c r="C66" s="415" t="s">
        <v>374</v>
      </c>
      <c r="D66" s="416"/>
      <c r="E66" s="86"/>
      <c r="F66" s="86"/>
      <c r="G66" s="96"/>
      <c r="H66" s="86"/>
      <c r="I66" s="260"/>
      <c r="J66" s="417"/>
      <c r="K66" s="417"/>
      <c r="L66" s="418"/>
    </row>
    <row r="67" spans="1:14" ht="24" customHeight="1" thickBot="1" x14ac:dyDescent="0.35">
      <c r="A67" s="1588" t="s">
        <v>15</v>
      </c>
      <c r="B67" s="1590" t="s">
        <v>27</v>
      </c>
      <c r="C67" s="1926" t="s">
        <v>15</v>
      </c>
      <c r="D67" s="1869" t="s">
        <v>375</v>
      </c>
      <c r="E67" s="1996" t="s">
        <v>19</v>
      </c>
      <c r="F67" s="3021" t="s">
        <v>20</v>
      </c>
      <c r="G67" s="3137" t="s">
        <v>94</v>
      </c>
      <c r="H67" s="3114" t="s">
        <v>376</v>
      </c>
      <c r="I67" s="1110" t="s">
        <v>23</v>
      </c>
      <c r="J67" s="479">
        <f>25+4.4</f>
        <v>29.4</v>
      </c>
      <c r="K67" s="480">
        <v>25</v>
      </c>
      <c r="L67" s="481">
        <v>25</v>
      </c>
    </row>
    <row r="68" spans="1:14" ht="31.5" customHeight="1" thickBot="1" x14ac:dyDescent="0.35">
      <c r="A68" s="1588"/>
      <c r="B68" s="1590"/>
      <c r="C68" s="1926"/>
      <c r="D68" s="1869"/>
      <c r="E68" s="1996"/>
      <c r="F68" s="3021"/>
      <c r="G68" s="2643"/>
      <c r="H68" s="3115"/>
      <c r="I68" s="488" t="s">
        <v>24</v>
      </c>
      <c r="J68" s="482">
        <f>SUM(J67)</f>
        <v>29.4</v>
      </c>
      <c r="K68" s="483">
        <f t="shared" ref="K68:L68" si="3">SUM(K67)</f>
        <v>25</v>
      </c>
      <c r="L68" s="283">
        <f t="shared" si="3"/>
        <v>25</v>
      </c>
      <c r="N68" s="526"/>
    </row>
    <row r="69" spans="1:14" ht="24" customHeight="1" x14ac:dyDescent="0.3">
      <c r="A69" s="1588" t="s">
        <v>15</v>
      </c>
      <c r="B69" s="1590" t="s">
        <v>27</v>
      </c>
      <c r="C69" s="1926" t="s">
        <v>25</v>
      </c>
      <c r="D69" s="2058" t="s">
        <v>377</v>
      </c>
      <c r="E69" s="2045" t="s">
        <v>498</v>
      </c>
      <c r="F69" s="2239" t="s">
        <v>20</v>
      </c>
      <c r="G69" s="2047" t="s">
        <v>178</v>
      </c>
      <c r="H69" s="2243" t="s">
        <v>378</v>
      </c>
      <c r="I69" s="570" t="s">
        <v>23</v>
      </c>
      <c r="J69" s="455">
        <v>170.8</v>
      </c>
      <c r="K69" s="455">
        <v>0</v>
      </c>
      <c r="L69" s="455">
        <v>0</v>
      </c>
    </row>
    <row r="70" spans="1:14" ht="24.75" customHeight="1" x14ac:dyDescent="0.3">
      <c r="A70" s="1589"/>
      <c r="B70" s="1591"/>
      <c r="C70" s="1946"/>
      <c r="D70" s="2057"/>
      <c r="E70" s="2374"/>
      <c r="F70" s="2306"/>
      <c r="G70" s="2599"/>
      <c r="H70" s="2615"/>
      <c r="I70" s="838" t="s">
        <v>87</v>
      </c>
      <c r="J70" s="502">
        <v>0</v>
      </c>
      <c r="K70" s="502">
        <v>0</v>
      </c>
      <c r="L70" s="849">
        <v>0</v>
      </c>
    </row>
    <row r="71" spans="1:14" ht="21.75" customHeight="1" thickBot="1" x14ac:dyDescent="0.35">
      <c r="A71" s="1589"/>
      <c r="B71" s="1591"/>
      <c r="C71" s="1946"/>
      <c r="D71" s="2057"/>
      <c r="E71" s="2374"/>
      <c r="F71" s="2306"/>
      <c r="G71" s="2599"/>
      <c r="H71" s="2615"/>
      <c r="I71" s="1312" t="s">
        <v>324</v>
      </c>
      <c r="J71" s="1111">
        <v>0</v>
      </c>
      <c r="K71" s="1111">
        <v>0</v>
      </c>
      <c r="L71" s="1313">
        <v>0</v>
      </c>
    </row>
    <row r="72" spans="1:14" ht="23.25" customHeight="1" thickBot="1" x14ac:dyDescent="0.35">
      <c r="A72" s="1589"/>
      <c r="B72" s="1591"/>
      <c r="C72" s="1946"/>
      <c r="D72" s="2057"/>
      <c r="E72" s="2046"/>
      <c r="F72" s="2240"/>
      <c r="G72" s="2048"/>
      <c r="H72" s="3096"/>
      <c r="I72" s="696" t="s">
        <v>24</v>
      </c>
      <c r="J72" s="213">
        <f>SUM(J69:J71)</f>
        <v>170.8</v>
      </c>
      <c r="K72" s="213">
        <f t="shared" ref="K72:L72" si="4">SUM(K69:K71)</f>
        <v>0</v>
      </c>
      <c r="L72" s="213">
        <f t="shared" si="4"/>
        <v>0</v>
      </c>
    </row>
    <row r="73" spans="1:14" ht="27.75" customHeight="1" thickBot="1" x14ac:dyDescent="0.35">
      <c r="A73" s="2443" t="s">
        <v>15</v>
      </c>
      <c r="B73" s="2235" t="s">
        <v>27</v>
      </c>
      <c r="C73" s="2041" t="s">
        <v>27</v>
      </c>
      <c r="D73" s="1990" t="s">
        <v>379</v>
      </c>
      <c r="E73" s="2374" t="s">
        <v>498</v>
      </c>
      <c r="F73" s="2360" t="s">
        <v>20</v>
      </c>
      <c r="G73" s="709" t="s">
        <v>178</v>
      </c>
      <c r="H73" s="2139" t="s">
        <v>380</v>
      </c>
      <c r="I73" s="841" t="s">
        <v>23</v>
      </c>
      <c r="J73" s="424">
        <f>70-43.5</f>
        <v>26.5</v>
      </c>
      <c r="K73" s="424">
        <v>0</v>
      </c>
      <c r="L73" s="424">
        <v>0</v>
      </c>
    </row>
    <row r="74" spans="1:14" ht="26.25" customHeight="1" thickBot="1" x14ac:dyDescent="0.35">
      <c r="A74" s="2510"/>
      <c r="B74" s="2278"/>
      <c r="C74" s="2279"/>
      <c r="D74" s="2442"/>
      <c r="E74" s="2374"/>
      <c r="F74" s="2361"/>
      <c r="G74" s="2999" t="s">
        <v>381</v>
      </c>
      <c r="H74" s="2139"/>
      <c r="I74" s="840" t="s">
        <v>324</v>
      </c>
      <c r="J74" s="424">
        <v>0</v>
      </c>
      <c r="K74" s="424">
        <v>0</v>
      </c>
      <c r="L74" s="424">
        <v>0</v>
      </c>
    </row>
    <row r="75" spans="1:14" ht="34.5" customHeight="1" thickBot="1" x14ac:dyDescent="0.35">
      <c r="A75" s="2444"/>
      <c r="B75" s="2236"/>
      <c r="C75" s="2042"/>
      <c r="D75" s="1991"/>
      <c r="E75" s="2046"/>
      <c r="F75" s="2362"/>
      <c r="G75" s="3000"/>
      <c r="H75" s="2998"/>
      <c r="I75" s="215" t="s">
        <v>24</v>
      </c>
      <c r="J75" s="4">
        <f>SUM(J73:J74)</f>
        <v>26.5</v>
      </c>
      <c r="K75" s="4">
        <f>SUM(K73:K74)</f>
        <v>0</v>
      </c>
      <c r="L75" s="4">
        <f>SUM(L73:L74)</f>
        <v>0</v>
      </c>
    </row>
    <row r="76" spans="1:14" ht="15" thickBot="1" x14ac:dyDescent="0.35">
      <c r="A76" s="76" t="s">
        <v>15</v>
      </c>
      <c r="B76" s="77" t="s">
        <v>27</v>
      </c>
      <c r="C76" s="2035" t="s">
        <v>80</v>
      </c>
      <c r="D76" s="2035"/>
      <c r="E76" s="2035"/>
      <c r="F76" s="2035"/>
      <c r="G76" s="2035"/>
      <c r="H76" s="2035"/>
      <c r="I76" s="2035"/>
      <c r="J76" s="412">
        <f>J68+J72+J75</f>
        <v>226.70000000000002</v>
      </c>
      <c r="K76" s="412">
        <f>K68+K72+K75</f>
        <v>25</v>
      </c>
      <c r="L76" s="419">
        <f>L68+L72+L75</f>
        <v>25</v>
      </c>
    </row>
    <row r="77" spans="1:14" ht="19.5" customHeight="1" thickBot="1" x14ac:dyDescent="0.35">
      <c r="A77" s="181" t="s">
        <v>15</v>
      </c>
      <c r="B77" s="80" t="s">
        <v>31</v>
      </c>
      <c r="C77" s="420" t="s">
        <v>382</v>
      </c>
      <c r="D77" s="421"/>
      <c r="E77" s="421"/>
      <c r="F77" s="207"/>
      <c r="G77" s="421"/>
      <c r="H77" s="207"/>
      <c r="I77" s="421"/>
      <c r="J77" s="422"/>
      <c r="K77" s="422"/>
      <c r="L77" s="423"/>
    </row>
    <row r="78" spans="1:14" ht="26.25" customHeight="1" thickBot="1" x14ac:dyDescent="0.35">
      <c r="A78" s="1588" t="s">
        <v>15</v>
      </c>
      <c r="B78" s="1590" t="s">
        <v>31</v>
      </c>
      <c r="C78" s="1926" t="s">
        <v>15</v>
      </c>
      <c r="D78" s="1869" t="s">
        <v>383</v>
      </c>
      <c r="E78" s="1996" t="s">
        <v>177</v>
      </c>
      <c r="F78" s="2293" t="s">
        <v>20</v>
      </c>
      <c r="G78" s="1998" t="s">
        <v>94</v>
      </c>
      <c r="H78" s="1994" t="s">
        <v>384</v>
      </c>
      <c r="I78" s="701" t="s">
        <v>23</v>
      </c>
      <c r="J78" s="94">
        <v>0</v>
      </c>
      <c r="K78" s="94">
        <v>0</v>
      </c>
      <c r="L78" s="424">
        <v>0</v>
      </c>
    </row>
    <row r="79" spans="1:14" ht="48.75" customHeight="1" thickBot="1" x14ac:dyDescent="0.35">
      <c r="A79" s="1701"/>
      <c r="B79" s="1662"/>
      <c r="C79" s="2218"/>
      <c r="D79" s="1871"/>
      <c r="E79" s="2220"/>
      <c r="F79" s="2295"/>
      <c r="G79" s="2263"/>
      <c r="H79" s="1666"/>
      <c r="I79" s="215" t="s">
        <v>24</v>
      </c>
      <c r="J79" s="4">
        <f>SUM(J78:J78)</f>
        <v>0</v>
      </c>
      <c r="K79" s="271">
        <f>SUM(K78:K78)</f>
        <v>0</v>
      </c>
      <c r="L79" s="425">
        <f>SUM(L78:L78)</f>
        <v>0</v>
      </c>
    </row>
    <row r="80" spans="1:14" ht="26.25" customHeight="1" thickBot="1" x14ac:dyDescent="0.35">
      <c r="A80" s="1588" t="s">
        <v>15</v>
      </c>
      <c r="B80" s="1590" t="s">
        <v>31</v>
      </c>
      <c r="C80" s="3067" t="s">
        <v>25</v>
      </c>
      <c r="D80" s="3003" t="s">
        <v>385</v>
      </c>
      <c r="E80" s="2060" t="s">
        <v>19</v>
      </c>
      <c r="F80" s="2546" t="s">
        <v>20</v>
      </c>
      <c r="G80" s="2997" t="s">
        <v>116</v>
      </c>
      <c r="H80" s="2542" t="s">
        <v>386</v>
      </c>
      <c r="I80" s="702" t="s">
        <v>23</v>
      </c>
      <c r="J80" s="426">
        <f>97.2-13-68-10</f>
        <v>6.2000000000000028</v>
      </c>
      <c r="K80" s="310">
        <v>97.2</v>
      </c>
      <c r="L80" s="236">
        <v>97.2</v>
      </c>
    </row>
    <row r="81" spans="1:12" ht="23.25" customHeight="1" thickBot="1" x14ac:dyDescent="0.35">
      <c r="A81" s="1589"/>
      <c r="B81" s="1591"/>
      <c r="C81" s="3068"/>
      <c r="D81" s="3004"/>
      <c r="E81" s="1959"/>
      <c r="F81" s="2547"/>
      <c r="G81" s="2088"/>
      <c r="H81" s="3116"/>
      <c r="I81" s="211" t="s">
        <v>24</v>
      </c>
      <c r="J81" s="275">
        <f>SUM(J80)</f>
        <v>6.2000000000000028</v>
      </c>
      <c r="K81" s="453">
        <f t="shared" ref="K81:L81" si="5">SUM(K80)</f>
        <v>97.2</v>
      </c>
      <c r="L81" s="989">
        <f t="shared" si="5"/>
        <v>97.2</v>
      </c>
    </row>
    <row r="82" spans="1:12" ht="23.25" customHeight="1" x14ac:dyDescent="0.3">
      <c r="A82" s="1588" t="s">
        <v>15</v>
      </c>
      <c r="B82" s="1543" t="s">
        <v>31</v>
      </c>
      <c r="C82" s="3001" t="s">
        <v>27</v>
      </c>
      <c r="D82" s="3005" t="s">
        <v>387</v>
      </c>
      <c r="E82" s="3071" t="s">
        <v>177</v>
      </c>
      <c r="F82" s="2546" t="s">
        <v>20</v>
      </c>
      <c r="G82" s="2970" t="s">
        <v>178</v>
      </c>
      <c r="H82" s="2976" t="s">
        <v>388</v>
      </c>
      <c r="I82" s="1342" t="s">
        <v>23</v>
      </c>
      <c r="J82" s="1343">
        <v>0</v>
      </c>
      <c r="K82" s="1343">
        <v>0</v>
      </c>
      <c r="L82" s="1344">
        <v>0</v>
      </c>
    </row>
    <row r="83" spans="1:12" ht="21.75" customHeight="1" thickBot="1" x14ac:dyDescent="0.35">
      <c r="A83" s="1589"/>
      <c r="B83" s="1544"/>
      <c r="C83" s="2954"/>
      <c r="D83" s="2969"/>
      <c r="E83" s="3072"/>
      <c r="F83" s="2547"/>
      <c r="G83" s="2971"/>
      <c r="H83" s="2977"/>
      <c r="I83" s="1043" t="s">
        <v>227</v>
      </c>
      <c r="J83" s="1006">
        <v>19.100000000000001</v>
      </c>
      <c r="K83" s="1006">
        <v>0</v>
      </c>
      <c r="L83" s="1345">
        <v>0</v>
      </c>
    </row>
    <row r="84" spans="1:12" ht="23.25" customHeight="1" thickBot="1" x14ac:dyDescent="0.35">
      <c r="A84" s="1701"/>
      <c r="B84" s="1545"/>
      <c r="C84" s="3002"/>
      <c r="D84" s="3006"/>
      <c r="E84" s="3073"/>
      <c r="F84" s="1568"/>
      <c r="G84" s="2972"/>
      <c r="H84" s="2978"/>
      <c r="I84" s="1346" t="s">
        <v>24</v>
      </c>
      <c r="J84" s="1347">
        <f>SUM(J82:J83)</f>
        <v>19.100000000000001</v>
      </c>
      <c r="K84" s="1348">
        <f>SUM(K82)</f>
        <v>0</v>
      </c>
      <c r="L84" s="1170">
        <f>SUM(L82)</f>
        <v>0</v>
      </c>
    </row>
    <row r="85" spans="1:12" ht="15" thickBot="1" x14ac:dyDescent="0.35">
      <c r="A85" s="76" t="s">
        <v>15</v>
      </c>
      <c r="B85" s="77" t="s">
        <v>31</v>
      </c>
      <c r="C85" s="2035" t="s">
        <v>80</v>
      </c>
      <c r="D85" s="2035"/>
      <c r="E85" s="2035"/>
      <c r="F85" s="2035"/>
      <c r="G85" s="2035"/>
      <c r="H85" s="2035"/>
      <c r="I85" s="2035"/>
      <c r="J85" s="412">
        <f>J79+J81+J84</f>
        <v>25.300000000000004</v>
      </c>
      <c r="K85" s="413">
        <f t="shared" ref="K85:L85" si="6">K79+K81</f>
        <v>97.2</v>
      </c>
      <c r="L85" s="428">
        <f t="shared" si="6"/>
        <v>97.2</v>
      </c>
    </row>
    <row r="86" spans="1:12" x14ac:dyDescent="0.3">
      <c r="A86" s="429" t="s">
        <v>15</v>
      </c>
      <c r="B86" s="84" t="s">
        <v>33</v>
      </c>
      <c r="C86" s="206" t="s">
        <v>389</v>
      </c>
      <c r="D86" s="430"/>
      <c r="E86" s="430"/>
      <c r="F86" s="430"/>
      <c r="G86" s="430"/>
      <c r="H86" s="430"/>
      <c r="I86" s="430"/>
      <c r="J86" s="430"/>
      <c r="K86" s="430"/>
      <c r="L86" s="1050"/>
    </row>
    <row r="87" spans="1:12" x14ac:dyDescent="0.3">
      <c r="A87" s="1588" t="s">
        <v>15</v>
      </c>
      <c r="B87" s="1590" t="s">
        <v>33</v>
      </c>
      <c r="C87" s="1926" t="s">
        <v>15</v>
      </c>
      <c r="D87" s="2066" t="s">
        <v>390</v>
      </c>
      <c r="E87" s="1996" t="s">
        <v>19</v>
      </c>
      <c r="F87" s="2293" t="s">
        <v>20</v>
      </c>
      <c r="G87" s="1998" t="s">
        <v>94</v>
      </c>
      <c r="H87" s="2941" t="s">
        <v>391</v>
      </c>
      <c r="I87" s="703" t="s">
        <v>23</v>
      </c>
      <c r="J87" s="431">
        <f>816.1+141.8</f>
        <v>957.90000000000009</v>
      </c>
      <c r="K87" s="432">
        <v>750</v>
      </c>
      <c r="L87" s="611">
        <v>750</v>
      </c>
    </row>
    <row r="88" spans="1:12" x14ac:dyDescent="0.3">
      <c r="A88" s="1588"/>
      <c r="B88" s="1590"/>
      <c r="C88" s="1926"/>
      <c r="D88" s="2066"/>
      <c r="E88" s="1996"/>
      <c r="F88" s="2293"/>
      <c r="G88" s="1998"/>
      <c r="H88" s="2941"/>
      <c r="I88" s="1314" t="s">
        <v>30</v>
      </c>
      <c r="J88" s="433">
        <v>5.5</v>
      </c>
      <c r="K88" s="434">
        <v>0</v>
      </c>
      <c r="L88" s="613">
        <v>0</v>
      </c>
    </row>
    <row r="89" spans="1:12" ht="19.5" customHeight="1" x14ac:dyDescent="0.3">
      <c r="A89" s="1588"/>
      <c r="B89" s="1590"/>
      <c r="C89" s="1926"/>
      <c r="D89" s="2066"/>
      <c r="E89" s="1996"/>
      <c r="F89" s="2293"/>
      <c r="G89" s="1998"/>
      <c r="H89" s="2941"/>
      <c r="I89" s="704" t="s">
        <v>24</v>
      </c>
      <c r="J89" s="435">
        <f>SUM(J87:J88)</f>
        <v>963.40000000000009</v>
      </c>
      <c r="K89" s="436">
        <f t="shared" ref="K89:L89" si="7">SUM(K87:K88)</f>
        <v>750</v>
      </c>
      <c r="L89" s="478">
        <f t="shared" si="7"/>
        <v>750</v>
      </c>
    </row>
    <row r="90" spans="1:12" ht="18" customHeight="1" x14ac:dyDescent="0.3">
      <c r="A90" s="2443" t="s">
        <v>15</v>
      </c>
      <c r="B90" s="2235" t="s">
        <v>33</v>
      </c>
      <c r="C90" s="2041" t="s">
        <v>25</v>
      </c>
      <c r="D90" s="2968" t="s">
        <v>392</v>
      </c>
      <c r="E90" s="2967" t="s">
        <v>19</v>
      </c>
      <c r="F90" s="2360" t="s">
        <v>20</v>
      </c>
      <c r="G90" s="1998" t="s">
        <v>393</v>
      </c>
      <c r="H90" s="2975" t="s">
        <v>22</v>
      </c>
      <c r="I90" s="703" t="s">
        <v>23</v>
      </c>
      <c r="J90" s="431">
        <f>250+1.6+71.3</f>
        <v>322.89999999999998</v>
      </c>
      <c r="K90" s="432">
        <v>250</v>
      </c>
      <c r="L90" s="438">
        <v>250</v>
      </c>
    </row>
    <row r="91" spans="1:12" ht="20.25" customHeight="1" thickBot="1" x14ac:dyDescent="0.35">
      <c r="A91" s="2443"/>
      <c r="B91" s="2235"/>
      <c r="C91" s="2041"/>
      <c r="D91" s="2968"/>
      <c r="E91" s="2967"/>
      <c r="F91" s="2360"/>
      <c r="G91" s="1998"/>
      <c r="H91" s="2973"/>
      <c r="I91" s="704" t="s">
        <v>24</v>
      </c>
      <c r="J91" s="435">
        <f>SUM(J90)</f>
        <v>322.89999999999998</v>
      </c>
      <c r="K91" s="436">
        <f t="shared" ref="K91:L91" si="8">SUM(K90)</f>
        <v>250</v>
      </c>
      <c r="L91" s="437">
        <f t="shared" si="8"/>
        <v>250</v>
      </c>
    </row>
    <row r="92" spans="1:12" ht="17.25" customHeight="1" thickBot="1" x14ac:dyDescent="0.35">
      <c r="A92" s="2928" t="s">
        <v>15</v>
      </c>
      <c r="B92" s="2930" t="s">
        <v>33</v>
      </c>
      <c r="C92" s="2430" t="s">
        <v>27</v>
      </c>
      <c r="D92" s="2968" t="s">
        <v>394</v>
      </c>
      <c r="E92" s="2237" t="s">
        <v>177</v>
      </c>
      <c r="F92" s="2412" t="s">
        <v>20</v>
      </c>
      <c r="G92" s="2965" t="s">
        <v>395</v>
      </c>
      <c r="H92" s="2973" t="s">
        <v>396</v>
      </c>
      <c r="I92" s="703" t="s">
        <v>23</v>
      </c>
      <c r="J92" s="915">
        <v>0</v>
      </c>
      <c r="K92" s="878">
        <v>0</v>
      </c>
      <c r="L92" s="916">
        <v>0</v>
      </c>
    </row>
    <row r="93" spans="1:12" ht="25.5" customHeight="1" thickBot="1" x14ac:dyDescent="0.35">
      <c r="A93" s="2929"/>
      <c r="B93" s="2931"/>
      <c r="C93" s="2602"/>
      <c r="D93" s="2969"/>
      <c r="E93" s="2238"/>
      <c r="F93" s="2361"/>
      <c r="G93" s="2966"/>
      <c r="H93" s="2974"/>
      <c r="I93" s="704" t="s">
        <v>24</v>
      </c>
      <c r="J93" s="435">
        <f>SUM(J92)</f>
        <v>0</v>
      </c>
      <c r="K93" s="436">
        <f t="shared" ref="K93:L93" si="9">SUM(K92)</f>
        <v>0</v>
      </c>
      <c r="L93" s="437">
        <f t="shared" si="9"/>
        <v>0</v>
      </c>
    </row>
    <row r="94" spans="1:12" ht="36" customHeight="1" thickBot="1" x14ac:dyDescent="0.35">
      <c r="A94" s="2928" t="s">
        <v>15</v>
      </c>
      <c r="B94" s="2930" t="s">
        <v>33</v>
      </c>
      <c r="C94" s="2041" t="s">
        <v>31</v>
      </c>
      <c r="D94" s="2968" t="s">
        <v>397</v>
      </c>
      <c r="E94" s="2045" t="s">
        <v>177</v>
      </c>
      <c r="F94" s="2412" t="s">
        <v>20</v>
      </c>
      <c r="G94" s="2047" t="s">
        <v>395</v>
      </c>
      <c r="H94" s="2973" t="s">
        <v>398</v>
      </c>
      <c r="I94" s="703" t="s">
        <v>23</v>
      </c>
      <c r="J94" s="915">
        <v>0</v>
      </c>
      <c r="K94" s="878">
        <v>0</v>
      </c>
      <c r="L94" s="916">
        <v>0</v>
      </c>
    </row>
    <row r="95" spans="1:12" ht="40.5" customHeight="1" thickBot="1" x14ac:dyDescent="0.35">
      <c r="A95" s="2929"/>
      <c r="B95" s="2931"/>
      <c r="C95" s="2042"/>
      <c r="D95" s="3027"/>
      <c r="E95" s="2046"/>
      <c r="F95" s="2362"/>
      <c r="G95" s="2048"/>
      <c r="H95" s="2262"/>
      <c r="I95" s="215" t="s">
        <v>24</v>
      </c>
      <c r="J95" s="2">
        <f>SUM(J94)</f>
        <v>0</v>
      </c>
      <c r="K95" s="271">
        <f t="shared" ref="K95:L95" si="10">SUM(K94)</f>
        <v>0</v>
      </c>
      <c r="L95" s="283">
        <f t="shared" si="10"/>
        <v>0</v>
      </c>
    </row>
    <row r="96" spans="1:12" ht="21" customHeight="1" thickBot="1" x14ac:dyDescent="0.35">
      <c r="A96" s="76" t="s">
        <v>15</v>
      </c>
      <c r="B96" s="77" t="s">
        <v>33</v>
      </c>
      <c r="C96" s="3029" t="s">
        <v>80</v>
      </c>
      <c r="D96" s="3029"/>
      <c r="E96" s="3029"/>
      <c r="F96" s="3029"/>
      <c r="G96" s="3029"/>
      <c r="H96" s="3029"/>
      <c r="I96" s="3029"/>
      <c r="J96" s="439">
        <f>J89+J91+J93+J95</f>
        <v>1286.3000000000002</v>
      </c>
      <c r="K96" s="440">
        <f>K89+K91+K93+K95</f>
        <v>1000</v>
      </c>
      <c r="L96" s="441">
        <f>L89+L91+L93+L95</f>
        <v>1000</v>
      </c>
    </row>
    <row r="97" spans="1:12" ht="21" customHeight="1" thickBot="1" x14ac:dyDescent="0.35">
      <c r="A97" s="76" t="s">
        <v>15</v>
      </c>
      <c r="B97" s="77" t="s">
        <v>66</v>
      </c>
      <c r="C97" s="1641" t="s">
        <v>399</v>
      </c>
      <c r="D97" s="1642"/>
      <c r="E97" s="1642"/>
      <c r="F97" s="1642"/>
      <c r="G97" s="1642"/>
      <c r="H97" s="1642"/>
      <c r="I97" s="1642"/>
      <c r="J97" s="1642"/>
      <c r="K97" s="1642"/>
      <c r="L97" s="3028"/>
    </row>
    <row r="98" spans="1:12" ht="24.75" customHeight="1" thickBot="1" x14ac:dyDescent="0.35">
      <c r="A98" s="2928" t="s">
        <v>15</v>
      </c>
      <c r="B98" s="2122" t="s">
        <v>66</v>
      </c>
      <c r="C98" s="3023" t="s">
        <v>15</v>
      </c>
      <c r="D98" s="1870" t="s">
        <v>400</v>
      </c>
      <c r="E98" s="1997" t="s">
        <v>19</v>
      </c>
      <c r="F98" s="2294" t="s">
        <v>20</v>
      </c>
      <c r="G98" s="3010" t="s">
        <v>94</v>
      </c>
      <c r="H98" s="3013" t="s">
        <v>22</v>
      </c>
      <c r="I98" s="705" t="s">
        <v>284</v>
      </c>
      <c r="J98" s="246">
        <v>210</v>
      </c>
      <c r="K98" s="246">
        <v>210</v>
      </c>
      <c r="L98" s="442">
        <v>210</v>
      </c>
    </row>
    <row r="99" spans="1:12" x14ac:dyDescent="0.3">
      <c r="A99" s="2932"/>
      <c r="B99" s="3007"/>
      <c r="C99" s="3024"/>
      <c r="D99" s="1869"/>
      <c r="E99" s="1996"/>
      <c r="F99" s="2293"/>
      <c r="G99" s="1998"/>
      <c r="H99" s="3014"/>
      <c r="I99" s="706" t="s">
        <v>30</v>
      </c>
      <c r="J99" s="443">
        <f>919.7-47.8</f>
        <v>871.90000000000009</v>
      </c>
      <c r="K99" s="443">
        <v>0</v>
      </c>
      <c r="L99" s="444">
        <v>0</v>
      </c>
    </row>
    <row r="100" spans="1:12" x14ac:dyDescent="0.3">
      <c r="A100" s="2933"/>
      <c r="B100" s="3008"/>
      <c r="C100" s="3025"/>
      <c r="D100" s="1922"/>
      <c r="E100" s="3019"/>
      <c r="F100" s="3026"/>
      <c r="G100" s="3011"/>
      <c r="H100" s="3015"/>
      <c r="I100" s="488" t="s">
        <v>24</v>
      </c>
      <c r="J100" s="36">
        <f>SUM(J98:J99)</f>
        <v>1081.9000000000001</v>
      </c>
      <c r="K100" s="36">
        <f>SUM(K98:K99)</f>
        <v>210</v>
      </c>
      <c r="L100" s="283">
        <f>SUM(L98:L99)</f>
        <v>210</v>
      </c>
    </row>
    <row r="101" spans="1:12" x14ac:dyDescent="0.3">
      <c r="A101" s="429" t="s">
        <v>15</v>
      </c>
      <c r="B101" s="108" t="s">
        <v>66</v>
      </c>
      <c r="C101" s="2035" t="s">
        <v>80</v>
      </c>
      <c r="D101" s="2035"/>
      <c r="E101" s="2035"/>
      <c r="F101" s="2035"/>
      <c r="G101" s="2035"/>
      <c r="H101" s="2035"/>
      <c r="I101" s="2035"/>
      <c r="J101" s="412">
        <f>J98+J99</f>
        <v>1081.9000000000001</v>
      </c>
      <c r="K101" s="413">
        <f t="shared" ref="K101:L101" si="11">K100</f>
        <v>210</v>
      </c>
      <c r="L101" s="445">
        <f t="shared" si="11"/>
        <v>210</v>
      </c>
    </row>
    <row r="102" spans="1:12" ht="15.75" customHeight="1" thickBot="1" x14ac:dyDescent="0.35">
      <c r="A102" s="429" t="s">
        <v>15</v>
      </c>
      <c r="B102" s="446"/>
      <c r="C102" s="447"/>
      <c r="D102" s="447"/>
      <c r="E102" s="447"/>
      <c r="F102" s="447"/>
      <c r="G102" s="447"/>
      <c r="H102" s="447"/>
      <c r="I102" s="448" t="s">
        <v>83</v>
      </c>
      <c r="J102" s="449">
        <f>J37+J65+J76+J85+J96+J101</f>
        <v>9449.2800000000007</v>
      </c>
      <c r="K102" s="449">
        <f>K37+K65+K76+K85+K96+K101</f>
        <v>5996.2</v>
      </c>
      <c r="L102" s="298">
        <f>L37+L65+L76+L85+L96+L101</f>
        <v>5996.2</v>
      </c>
    </row>
    <row r="103" spans="1:12" ht="24" customHeight="1" thickBot="1" x14ac:dyDescent="0.35">
      <c r="A103" s="429" t="s">
        <v>25</v>
      </c>
      <c r="B103" s="450" t="s">
        <v>401</v>
      </c>
      <c r="C103" s="447"/>
      <c r="D103" s="447"/>
      <c r="E103" s="447"/>
      <c r="F103" s="447"/>
      <c r="G103" s="447"/>
      <c r="H103" s="447"/>
      <c r="I103" s="447"/>
      <c r="J103" s="451"/>
      <c r="K103" s="451"/>
      <c r="L103" s="452"/>
    </row>
    <row r="104" spans="1:12" x14ac:dyDescent="0.3">
      <c r="A104" s="304" t="s">
        <v>25</v>
      </c>
      <c r="B104" s="80" t="s">
        <v>15</v>
      </c>
      <c r="C104" s="389" t="s">
        <v>402</v>
      </c>
      <c r="D104" s="382"/>
      <c r="E104" s="382"/>
      <c r="F104" s="382"/>
      <c r="G104" s="382"/>
      <c r="H104" s="382"/>
      <c r="I104" s="382"/>
      <c r="J104" s="390"/>
      <c r="K104" s="390"/>
      <c r="L104" s="385"/>
    </row>
    <row r="105" spans="1:12" ht="24.75" customHeight="1" thickBot="1" x14ac:dyDescent="0.35">
      <c r="A105" s="1692" t="s">
        <v>25</v>
      </c>
      <c r="B105" s="2381" t="s">
        <v>15</v>
      </c>
      <c r="C105" s="2379" t="s">
        <v>15</v>
      </c>
      <c r="D105" s="3004" t="s">
        <v>403</v>
      </c>
      <c r="E105" s="1997" t="s">
        <v>19</v>
      </c>
      <c r="F105" s="2294" t="s">
        <v>20</v>
      </c>
      <c r="G105" s="1999" t="s">
        <v>94</v>
      </c>
      <c r="H105" s="2292" t="s">
        <v>404</v>
      </c>
      <c r="I105" s="263" t="s">
        <v>23</v>
      </c>
      <c r="J105" s="264">
        <f>537-9-258.4+30</f>
        <v>299.60000000000002</v>
      </c>
      <c r="K105" s="265">
        <v>537</v>
      </c>
      <c r="L105" s="266">
        <v>537</v>
      </c>
    </row>
    <row r="106" spans="1:12" ht="24.75" customHeight="1" thickBot="1" x14ac:dyDescent="0.35">
      <c r="A106" s="1692"/>
      <c r="B106" s="2381"/>
      <c r="C106" s="2379"/>
      <c r="D106" s="3004"/>
      <c r="E106" s="1997"/>
      <c r="F106" s="2294"/>
      <c r="G106" s="1999"/>
      <c r="H106" s="1995"/>
      <c r="I106" s="263" t="s">
        <v>324</v>
      </c>
      <c r="J106" s="44">
        <f>0+317.4+253.5</f>
        <v>570.9</v>
      </c>
      <c r="K106" s="310">
        <v>0</v>
      </c>
      <c r="L106" s="236">
        <v>0</v>
      </c>
    </row>
    <row r="107" spans="1:12" ht="36" customHeight="1" thickBot="1" x14ac:dyDescent="0.35">
      <c r="A107" s="1692"/>
      <c r="B107" s="2381"/>
      <c r="C107" s="2379"/>
      <c r="D107" s="3004"/>
      <c r="E107" s="1997"/>
      <c r="F107" s="2293"/>
      <c r="G107" s="1998"/>
      <c r="H107" s="1995"/>
      <c r="I107" s="215" t="s">
        <v>24</v>
      </c>
      <c r="J107" s="2">
        <f>SUM(J105:J106)</f>
        <v>870.5</v>
      </c>
      <c r="K107" s="271">
        <f t="shared" ref="K107:L107" si="12">SUM(K105)</f>
        <v>537</v>
      </c>
      <c r="L107" s="425">
        <f t="shared" si="12"/>
        <v>537</v>
      </c>
    </row>
    <row r="108" spans="1:12" ht="27.75" customHeight="1" thickBot="1" x14ac:dyDescent="0.35">
      <c r="A108" s="2578" t="s">
        <v>25</v>
      </c>
      <c r="B108" s="3009" t="s">
        <v>15</v>
      </c>
      <c r="C108" s="3012" t="s">
        <v>25</v>
      </c>
      <c r="D108" s="2934" t="s">
        <v>405</v>
      </c>
      <c r="E108" s="3018" t="s">
        <v>177</v>
      </c>
      <c r="F108" s="3020" t="s">
        <v>20</v>
      </c>
      <c r="G108" s="2965" t="s">
        <v>94</v>
      </c>
      <c r="H108" s="3016" t="s">
        <v>22</v>
      </c>
      <c r="I108" s="263" t="s">
        <v>23</v>
      </c>
      <c r="J108" s="264">
        <v>402.6</v>
      </c>
      <c r="K108" s="265">
        <v>402.6</v>
      </c>
      <c r="L108" s="266">
        <v>402.6</v>
      </c>
    </row>
    <row r="109" spans="1:12" ht="21" customHeight="1" thickBot="1" x14ac:dyDescent="0.35">
      <c r="A109" s="1690"/>
      <c r="B109" s="2349"/>
      <c r="C109" s="2350"/>
      <c r="D109" s="2364"/>
      <c r="E109" s="1996"/>
      <c r="F109" s="3021"/>
      <c r="G109" s="3022"/>
      <c r="H109" s="3017"/>
      <c r="I109" s="1315" t="s">
        <v>87</v>
      </c>
      <c r="J109" s="1280">
        <v>16</v>
      </c>
      <c r="K109" s="1215">
        <v>0</v>
      </c>
      <c r="L109" s="1307">
        <v>0</v>
      </c>
    </row>
    <row r="110" spans="1:12" ht="51" customHeight="1" x14ac:dyDescent="0.3">
      <c r="A110" s="1692"/>
      <c r="B110" s="2369"/>
      <c r="C110" s="2408"/>
      <c r="D110" s="2365"/>
      <c r="E110" s="1996"/>
      <c r="F110" s="3021"/>
      <c r="G110" s="3022"/>
      <c r="H110" s="3017"/>
      <c r="I110" s="700" t="s">
        <v>24</v>
      </c>
      <c r="J110" s="212">
        <f>SUM(J108:J109)</f>
        <v>418.6</v>
      </c>
      <c r="K110" s="453">
        <f t="shared" ref="K110:L110" si="13">SUM(K108:K109)</f>
        <v>402.6</v>
      </c>
      <c r="L110" s="425">
        <f t="shared" si="13"/>
        <v>402.6</v>
      </c>
    </row>
    <row r="111" spans="1:12" ht="21" customHeight="1" x14ac:dyDescent="0.3">
      <c r="A111" s="2443" t="s">
        <v>25</v>
      </c>
      <c r="B111" s="2235" t="s">
        <v>15</v>
      </c>
      <c r="C111" s="2041" t="s">
        <v>27</v>
      </c>
      <c r="D111" s="2289" t="s">
        <v>406</v>
      </c>
      <c r="E111" s="2045" t="s">
        <v>177</v>
      </c>
      <c r="F111" s="2422" t="s">
        <v>129</v>
      </c>
      <c r="G111" s="2987" t="s">
        <v>130</v>
      </c>
      <c r="H111" s="2260" t="s">
        <v>407</v>
      </c>
      <c r="I111" s="642" t="s">
        <v>23</v>
      </c>
      <c r="J111" s="31">
        <f>355.7+18-42.5-100</f>
        <v>231.2</v>
      </c>
      <c r="K111" s="31">
        <v>355.7</v>
      </c>
      <c r="L111" s="575">
        <v>355.7</v>
      </c>
    </row>
    <row r="112" spans="1:12" ht="20.25" customHeight="1" x14ac:dyDescent="0.3">
      <c r="A112" s="2510"/>
      <c r="B112" s="2278"/>
      <c r="C112" s="2279"/>
      <c r="D112" s="2230"/>
      <c r="E112" s="2374"/>
      <c r="F112" s="2423"/>
      <c r="G112" s="2988"/>
      <c r="H112" s="2261"/>
      <c r="I112" s="580" t="s">
        <v>30</v>
      </c>
      <c r="J112" s="393">
        <v>0.1</v>
      </c>
      <c r="K112" s="393">
        <v>0</v>
      </c>
      <c r="L112" s="942">
        <v>0</v>
      </c>
    </row>
    <row r="113" spans="1:12" ht="14.25" customHeight="1" x14ac:dyDescent="0.3">
      <c r="A113" s="2510"/>
      <c r="B113" s="2278"/>
      <c r="C113" s="2279"/>
      <c r="D113" s="2230"/>
      <c r="E113" s="2374"/>
      <c r="F113" s="2422" t="s">
        <v>131</v>
      </c>
      <c r="G113" s="2988"/>
      <c r="H113" s="2261"/>
      <c r="I113" s="642" t="s">
        <v>23</v>
      </c>
      <c r="J113" s="31">
        <f>29.7+0.8+10.5+0.36</f>
        <v>41.36</v>
      </c>
      <c r="K113" s="31">
        <v>29.7</v>
      </c>
      <c r="L113" s="575">
        <v>29.7</v>
      </c>
    </row>
    <row r="114" spans="1:12" ht="19.5" customHeight="1" x14ac:dyDescent="0.3">
      <c r="A114" s="2510"/>
      <c r="B114" s="2278"/>
      <c r="C114" s="2279"/>
      <c r="D114" s="2230"/>
      <c r="E114" s="2374"/>
      <c r="F114" s="2423"/>
      <c r="G114" s="2988"/>
      <c r="H114" s="2261"/>
      <c r="I114" s="581" t="s">
        <v>30</v>
      </c>
      <c r="J114" s="399">
        <v>0.1</v>
      </c>
      <c r="K114" s="399">
        <v>0</v>
      </c>
      <c r="L114" s="641">
        <v>0</v>
      </c>
    </row>
    <row r="115" spans="1:12" x14ac:dyDescent="0.3">
      <c r="A115" s="2510"/>
      <c r="B115" s="2278"/>
      <c r="C115" s="2279"/>
      <c r="D115" s="2230"/>
      <c r="E115" s="2374"/>
      <c r="F115" s="2422" t="s">
        <v>132</v>
      </c>
      <c r="G115" s="2988"/>
      <c r="H115" s="2261"/>
      <c r="I115" s="642" t="s">
        <v>23</v>
      </c>
      <c r="J115" s="31">
        <f>12.8+10.3-6+0.82</f>
        <v>17.920000000000002</v>
      </c>
      <c r="K115" s="31">
        <v>12.8</v>
      </c>
      <c r="L115" s="575">
        <v>12.8</v>
      </c>
    </row>
    <row r="116" spans="1:12" x14ac:dyDescent="0.3">
      <c r="A116" s="2510"/>
      <c r="B116" s="2278"/>
      <c r="C116" s="2279"/>
      <c r="D116" s="2230"/>
      <c r="E116" s="2374"/>
      <c r="F116" s="2423"/>
      <c r="G116" s="2988"/>
      <c r="H116" s="2261"/>
      <c r="I116" s="581" t="s">
        <v>30</v>
      </c>
      <c r="J116" s="399">
        <v>0</v>
      </c>
      <c r="K116" s="399">
        <v>0</v>
      </c>
      <c r="L116" s="641">
        <v>0</v>
      </c>
    </row>
    <row r="117" spans="1:12" x14ac:dyDescent="0.3">
      <c r="A117" s="2510"/>
      <c r="B117" s="2278"/>
      <c r="C117" s="2279"/>
      <c r="D117" s="2230"/>
      <c r="E117" s="2374"/>
      <c r="F117" s="2422" t="s">
        <v>133</v>
      </c>
      <c r="G117" s="2988"/>
      <c r="H117" s="2261"/>
      <c r="I117" s="642" t="s">
        <v>23</v>
      </c>
      <c r="J117" s="31">
        <f>8.1+0.3+7.2</f>
        <v>15.600000000000001</v>
      </c>
      <c r="K117" s="31">
        <v>8.1</v>
      </c>
      <c r="L117" s="575">
        <v>8.1</v>
      </c>
    </row>
    <row r="118" spans="1:12" x14ac:dyDescent="0.3">
      <c r="A118" s="2510"/>
      <c r="B118" s="2278"/>
      <c r="C118" s="2279"/>
      <c r="D118" s="2230"/>
      <c r="E118" s="2374"/>
      <c r="F118" s="2426"/>
      <c r="G118" s="2988"/>
      <c r="H118" s="2261"/>
      <c r="I118" s="941" t="s">
        <v>30</v>
      </c>
      <c r="J118" s="402">
        <v>0</v>
      </c>
      <c r="K118" s="402">
        <v>0</v>
      </c>
      <c r="L118" s="578">
        <v>0</v>
      </c>
    </row>
    <row r="119" spans="1:12" x14ac:dyDescent="0.3">
      <c r="A119" s="2510"/>
      <c r="B119" s="2278"/>
      <c r="C119" s="2279"/>
      <c r="D119" s="2230"/>
      <c r="E119" s="2374"/>
      <c r="F119" s="938" t="s">
        <v>134</v>
      </c>
      <c r="G119" s="2989"/>
      <c r="H119" s="2974"/>
      <c r="I119" s="928" t="s">
        <v>23</v>
      </c>
      <c r="J119" s="634">
        <v>18.600000000000001</v>
      </c>
      <c r="K119" s="634">
        <v>18.600000000000001</v>
      </c>
      <c r="L119" s="1049">
        <v>18.600000000000001</v>
      </c>
    </row>
    <row r="120" spans="1:12" x14ac:dyDescent="0.3">
      <c r="A120" s="2510"/>
      <c r="B120" s="2278"/>
      <c r="C120" s="2279"/>
      <c r="D120" s="2230"/>
      <c r="E120" s="2374"/>
      <c r="F120" s="669" t="s">
        <v>135</v>
      </c>
      <c r="G120" s="2989"/>
      <c r="H120" s="2974"/>
      <c r="I120" s="707" t="s">
        <v>23</v>
      </c>
      <c r="J120" s="454">
        <v>0.3</v>
      </c>
      <c r="K120" s="454">
        <v>0.3</v>
      </c>
      <c r="L120" s="1048">
        <v>0.3</v>
      </c>
    </row>
    <row r="121" spans="1:12" x14ac:dyDescent="0.3">
      <c r="A121" s="2510"/>
      <c r="B121" s="2278"/>
      <c r="C121" s="2279"/>
      <c r="D121" s="2230"/>
      <c r="E121" s="2374"/>
      <c r="F121" s="669" t="s">
        <v>136</v>
      </c>
      <c r="G121" s="2989"/>
      <c r="H121" s="2974"/>
      <c r="I121" s="707" t="s">
        <v>23</v>
      </c>
      <c r="J121" s="454">
        <v>10.5</v>
      </c>
      <c r="K121" s="454">
        <v>10.5</v>
      </c>
      <c r="L121" s="1048">
        <v>10.5</v>
      </c>
    </row>
    <row r="122" spans="1:12" x14ac:dyDescent="0.3">
      <c r="A122" s="2510"/>
      <c r="B122" s="2278"/>
      <c r="C122" s="2279"/>
      <c r="D122" s="2230"/>
      <c r="E122" s="2374"/>
      <c r="F122" s="669" t="s">
        <v>137</v>
      </c>
      <c r="G122" s="2989"/>
      <c r="H122" s="2974"/>
      <c r="I122" s="707" t="s">
        <v>23</v>
      </c>
      <c r="J122" s="454">
        <f>88.4-10+5.9</f>
        <v>84.300000000000011</v>
      </c>
      <c r="K122" s="454">
        <v>88.4</v>
      </c>
      <c r="L122" s="1048">
        <v>88.4</v>
      </c>
    </row>
    <row r="123" spans="1:12" x14ac:dyDescent="0.3">
      <c r="A123" s="2510"/>
      <c r="B123" s="2278"/>
      <c r="C123" s="2279"/>
      <c r="D123" s="2230"/>
      <c r="E123" s="2374"/>
      <c r="F123" s="940" t="s">
        <v>138</v>
      </c>
      <c r="G123" s="2989"/>
      <c r="H123" s="2974"/>
      <c r="I123" s="927" t="s">
        <v>23</v>
      </c>
      <c r="J123" s="399">
        <f>36.2-1.5</f>
        <v>34.700000000000003</v>
      </c>
      <c r="K123" s="399">
        <v>36.200000000000003</v>
      </c>
      <c r="L123" s="641">
        <v>36.200000000000003</v>
      </c>
    </row>
    <row r="124" spans="1:12" ht="21.75" customHeight="1" x14ac:dyDescent="0.3">
      <c r="A124" s="2510"/>
      <c r="B124" s="2278"/>
      <c r="C124" s="2279"/>
      <c r="D124" s="2230"/>
      <c r="E124" s="2374"/>
      <c r="F124" s="2422" t="s">
        <v>139</v>
      </c>
      <c r="G124" s="2988"/>
      <c r="H124" s="2261"/>
      <c r="I124" s="642" t="s">
        <v>23</v>
      </c>
      <c r="J124" s="31">
        <v>15.8</v>
      </c>
      <c r="K124" s="31">
        <v>15.8</v>
      </c>
      <c r="L124" s="575">
        <v>15.8</v>
      </c>
    </row>
    <row r="125" spans="1:12" x14ac:dyDescent="0.3">
      <c r="A125" s="2510"/>
      <c r="B125" s="2278"/>
      <c r="C125" s="2279"/>
      <c r="D125" s="2230"/>
      <c r="E125" s="2374"/>
      <c r="F125" s="2426"/>
      <c r="G125" s="2988"/>
      <c r="H125" s="2261"/>
      <c r="I125" s="941" t="s">
        <v>30</v>
      </c>
      <c r="J125" s="402">
        <v>0</v>
      </c>
      <c r="K125" s="402">
        <v>0</v>
      </c>
      <c r="L125" s="578">
        <v>0</v>
      </c>
    </row>
    <row r="126" spans="1:12" ht="15" thickBot="1" x14ac:dyDescent="0.35">
      <c r="A126" s="2510"/>
      <c r="B126" s="2278"/>
      <c r="C126" s="2279"/>
      <c r="D126" s="2230"/>
      <c r="E126" s="2374"/>
      <c r="F126" s="1538" t="s">
        <v>140</v>
      </c>
      <c r="G126" s="2989"/>
      <c r="H126" s="2974"/>
      <c r="I126" s="957" t="s">
        <v>23</v>
      </c>
      <c r="J126" s="589">
        <f>77.5+2</f>
        <v>79.5</v>
      </c>
      <c r="K126" s="589">
        <v>77.5</v>
      </c>
      <c r="L126" s="1051">
        <v>77.5</v>
      </c>
    </row>
    <row r="127" spans="1:12" ht="20.25" customHeight="1" thickBot="1" x14ac:dyDescent="0.35">
      <c r="A127" s="2444"/>
      <c r="B127" s="2236"/>
      <c r="C127" s="2042"/>
      <c r="D127" s="2641"/>
      <c r="E127" s="2046"/>
      <c r="F127" s="1539"/>
      <c r="G127" s="2989"/>
      <c r="H127" s="2979"/>
      <c r="I127" s="700" t="s">
        <v>24</v>
      </c>
      <c r="J127" s="213">
        <f>SUM(J111:J126)</f>
        <v>549.98</v>
      </c>
      <c r="K127" s="453">
        <f t="shared" ref="K127:L127" si="14">SUM(K111:K126)</f>
        <v>653.6</v>
      </c>
      <c r="L127" s="989">
        <f t="shared" si="14"/>
        <v>653.6</v>
      </c>
    </row>
    <row r="128" spans="1:12" ht="34.5" customHeight="1" thickBot="1" x14ac:dyDescent="0.35">
      <c r="A128" s="1589" t="s">
        <v>25</v>
      </c>
      <c r="B128" s="1591" t="s">
        <v>15</v>
      </c>
      <c r="C128" s="1946" t="s">
        <v>31</v>
      </c>
      <c r="D128" s="2062" t="s">
        <v>408</v>
      </c>
      <c r="E128" s="2382" t="s">
        <v>19</v>
      </c>
      <c r="F128" s="817" t="s">
        <v>20</v>
      </c>
      <c r="G128" s="822" t="s">
        <v>178</v>
      </c>
      <c r="H128" s="2980" t="s">
        <v>22</v>
      </c>
      <c r="I128" s="841" t="s">
        <v>23</v>
      </c>
      <c r="J128" s="326">
        <f>4.9+25.4-6</f>
        <v>24.299999999999997</v>
      </c>
      <c r="K128" s="326">
        <v>100</v>
      </c>
      <c r="L128" s="326">
        <v>100</v>
      </c>
    </row>
    <row r="129" spans="1:12" ht="26.25" customHeight="1" thickBot="1" x14ac:dyDescent="0.35">
      <c r="A129" s="1589"/>
      <c r="B129" s="1591"/>
      <c r="C129" s="1946"/>
      <c r="D129" s="2062"/>
      <c r="E129" s="2382"/>
      <c r="F129" s="821" t="s">
        <v>129</v>
      </c>
      <c r="G129" s="2396" t="s">
        <v>130</v>
      </c>
      <c r="H129" s="1995"/>
      <c r="I129" s="841" t="s">
        <v>23</v>
      </c>
      <c r="J129" s="326">
        <v>23.8</v>
      </c>
      <c r="K129" s="326">
        <v>0</v>
      </c>
      <c r="L129" s="520">
        <v>0</v>
      </c>
    </row>
    <row r="130" spans="1:12" ht="26.25" customHeight="1" thickBot="1" x14ac:dyDescent="0.35">
      <c r="A130" s="1589"/>
      <c r="B130" s="1591"/>
      <c r="C130" s="1946"/>
      <c r="D130" s="2062"/>
      <c r="E130" s="2382"/>
      <c r="F130" s="1032" t="s">
        <v>132</v>
      </c>
      <c r="G130" s="2396"/>
      <c r="H130" s="1995"/>
      <c r="I130" s="841" t="s">
        <v>23</v>
      </c>
      <c r="J130" s="326">
        <f>24.5-0.82</f>
        <v>23.68</v>
      </c>
      <c r="K130" s="326">
        <v>0</v>
      </c>
      <c r="L130" s="520">
        <v>0</v>
      </c>
    </row>
    <row r="131" spans="1:12" ht="26.25" customHeight="1" thickBot="1" x14ac:dyDescent="0.35">
      <c r="A131" s="1589"/>
      <c r="B131" s="1591"/>
      <c r="C131" s="1946"/>
      <c r="D131" s="2062"/>
      <c r="E131" s="2382"/>
      <c r="F131" s="1032" t="s">
        <v>139</v>
      </c>
      <c r="G131" s="2396"/>
      <c r="H131" s="1995"/>
      <c r="I131" s="841" t="s">
        <v>23</v>
      </c>
      <c r="J131" s="326">
        <v>21.7</v>
      </c>
      <c r="K131" s="326">
        <v>0</v>
      </c>
      <c r="L131" s="520">
        <v>0</v>
      </c>
    </row>
    <row r="132" spans="1:12" ht="26.25" customHeight="1" thickBot="1" x14ac:dyDescent="0.35">
      <c r="A132" s="1589"/>
      <c r="B132" s="1591"/>
      <c r="C132" s="1946"/>
      <c r="D132" s="2062"/>
      <c r="E132" s="2382"/>
      <c r="F132" s="1032" t="s">
        <v>140</v>
      </c>
      <c r="G132" s="2396"/>
      <c r="H132" s="1995"/>
      <c r="I132" s="841" t="s">
        <v>23</v>
      </c>
      <c r="J132" s="326">
        <v>25</v>
      </c>
      <c r="K132" s="326">
        <v>0</v>
      </c>
      <c r="L132" s="520">
        <v>0</v>
      </c>
    </row>
    <row r="133" spans="1:12" ht="24" customHeight="1" thickBot="1" x14ac:dyDescent="0.35">
      <c r="A133" s="1589"/>
      <c r="B133" s="1591"/>
      <c r="C133" s="1946"/>
      <c r="D133" s="2062"/>
      <c r="E133" s="2382"/>
      <c r="F133" s="1441" t="s">
        <v>61</v>
      </c>
      <c r="G133" s="2396"/>
      <c r="H133" s="1995"/>
      <c r="I133" s="841" t="s">
        <v>23</v>
      </c>
      <c r="J133" s="326">
        <f>23.9+13.4+8</f>
        <v>45.3</v>
      </c>
      <c r="K133" s="326">
        <v>0</v>
      </c>
      <c r="L133" s="520">
        <v>0</v>
      </c>
    </row>
    <row r="134" spans="1:12" ht="24" customHeight="1" thickBot="1" x14ac:dyDescent="0.35">
      <c r="A134" s="1589"/>
      <c r="B134" s="1591"/>
      <c r="C134" s="1946"/>
      <c r="D134" s="2062"/>
      <c r="E134" s="2382"/>
      <c r="F134" s="1441" t="s">
        <v>133</v>
      </c>
      <c r="G134" s="2396"/>
      <c r="H134" s="1995"/>
      <c r="I134" s="841" t="s">
        <v>23</v>
      </c>
      <c r="J134" s="326">
        <v>25</v>
      </c>
      <c r="K134" s="326">
        <v>0</v>
      </c>
      <c r="L134" s="520">
        <v>0</v>
      </c>
    </row>
    <row r="135" spans="1:12" ht="24" customHeight="1" thickBot="1" x14ac:dyDescent="0.35">
      <c r="A135" s="1589"/>
      <c r="B135" s="1591"/>
      <c r="C135" s="1946"/>
      <c r="D135" s="2062"/>
      <c r="E135" s="2382"/>
      <c r="F135" s="1441" t="s">
        <v>135</v>
      </c>
      <c r="G135" s="2396"/>
      <c r="H135" s="1995"/>
      <c r="I135" s="841" t="s">
        <v>23</v>
      </c>
      <c r="J135" s="326">
        <f>25-14.6</f>
        <v>10.4</v>
      </c>
      <c r="K135" s="326">
        <v>0</v>
      </c>
      <c r="L135" s="520">
        <v>0</v>
      </c>
    </row>
    <row r="136" spans="1:12" ht="24.75" customHeight="1" thickBot="1" x14ac:dyDescent="0.35">
      <c r="A136" s="1589"/>
      <c r="B136" s="1591"/>
      <c r="C136" s="1946"/>
      <c r="D136" s="2062"/>
      <c r="E136" s="2382"/>
      <c r="F136" s="2293" t="s">
        <v>131</v>
      </c>
      <c r="G136" s="2396"/>
      <c r="H136" s="1995"/>
      <c r="I136" s="503" t="s">
        <v>23</v>
      </c>
      <c r="J136" s="502">
        <v>5</v>
      </c>
      <c r="K136" s="502">
        <v>0</v>
      </c>
      <c r="L136" s="849">
        <v>0</v>
      </c>
    </row>
    <row r="137" spans="1:12" ht="25.5" customHeight="1" thickBot="1" x14ac:dyDescent="0.35">
      <c r="A137" s="1589"/>
      <c r="B137" s="1591"/>
      <c r="C137" s="1946"/>
      <c r="D137" s="2062"/>
      <c r="E137" s="2382"/>
      <c r="F137" s="2295"/>
      <c r="G137" s="2396"/>
      <c r="H137" s="1995"/>
      <c r="I137" s="700" t="s">
        <v>24</v>
      </c>
      <c r="J137" s="213">
        <f>SUM(J128:J136)</f>
        <v>204.18</v>
      </c>
      <c r="K137" s="213">
        <f t="shared" ref="K137:L137" si="15">SUM(K128:K133)</f>
        <v>100</v>
      </c>
      <c r="L137" s="213">
        <f t="shared" si="15"/>
        <v>100</v>
      </c>
    </row>
    <row r="138" spans="1:12" ht="26.25" customHeight="1" thickBot="1" x14ac:dyDescent="0.35">
      <c r="A138" s="2921" t="s">
        <v>25</v>
      </c>
      <c r="B138" s="2936" t="s">
        <v>15</v>
      </c>
      <c r="C138" s="2944" t="s">
        <v>33</v>
      </c>
      <c r="D138" s="2942" t="s">
        <v>409</v>
      </c>
      <c r="E138" s="2995" t="s">
        <v>177</v>
      </c>
      <c r="F138" s="2946" t="s">
        <v>20</v>
      </c>
      <c r="G138" s="2985" t="s">
        <v>178</v>
      </c>
      <c r="H138" s="2982" t="s">
        <v>410</v>
      </c>
      <c r="I138" s="1349" t="s">
        <v>23</v>
      </c>
      <c r="J138" s="1350">
        <f>41.9+39</f>
        <v>80.900000000000006</v>
      </c>
      <c r="K138" s="1351">
        <v>0</v>
      </c>
      <c r="L138" s="1352">
        <v>0</v>
      </c>
    </row>
    <row r="139" spans="1:12" ht="26.25" customHeight="1" thickBot="1" x14ac:dyDescent="0.35">
      <c r="A139" s="2922"/>
      <c r="B139" s="2937"/>
      <c r="C139" s="2945"/>
      <c r="D139" s="2943"/>
      <c r="E139" s="2996"/>
      <c r="F139" s="2946"/>
      <c r="G139" s="2986"/>
      <c r="H139" s="2983"/>
      <c r="I139" s="1349" t="s">
        <v>87</v>
      </c>
      <c r="J139" s="1350">
        <f>0+801</f>
        <v>801</v>
      </c>
      <c r="K139" s="1351">
        <v>0</v>
      </c>
      <c r="L139" s="1352">
        <v>0</v>
      </c>
    </row>
    <row r="140" spans="1:12" ht="46.5" customHeight="1" thickBot="1" x14ac:dyDescent="0.35">
      <c r="A140" s="2922"/>
      <c r="B140" s="2937"/>
      <c r="C140" s="2945"/>
      <c r="D140" s="2943"/>
      <c r="E140" s="2996"/>
      <c r="F140" s="2946"/>
      <c r="G140" s="2986"/>
      <c r="H140" s="2984"/>
      <c r="I140" s="1353" t="s">
        <v>24</v>
      </c>
      <c r="J140" s="1354">
        <f>SUM(J138:J139)</f>
        <v>881.9</v>
      </c>
      <c r="K140" s="1355">
        <f>SUM(K138:K139)</f>
        <v>0</v>
      </c>
      <c r="L140" s="1356">
        <f>SUM(L138:L139)</f>
        <v>0</v>
      </c>
    </row>
    <row r="141" spans="1:12" ht="41.25" customHeight="1" thickBot="1" x14ac:dyDescent="0.35">
      <c r="A141" s="1588" t="s">
        <v>25</v>
      </c>
      <c r="B141" s="1590" t="s">
        <v>15</v>
      </c>
      <c r="C141" s="1926" t="s">
        <v>66</v>
      </c>
      <c r="D141" s="2066" t="s">
        <v>411</v>
      </c>
      <c r="E141" s="2246" t="s">
        <v>19</v>
      </c>
      <c r="F141" s="2293" t="s">
        <v>61</v>
      </c>
      <c r="G141" s="1998" t="s">
        <v>178</v>
      </c>
      <c r="H141" s="2941"/>
      <c r="I141" s="708" t="s">
        <v>23</v>
      </c>
      <c r="J141" s="27">
        <f>40-6</f>
        <v>34</v>
      </c>
      <c r="K141" s="456">
        <v>0</v>
      </c>
      <c r="L141" s="457">
        <v>0</v>
      </c>
    </row>
    <row r="142" spans="1:12" ht="15" customHeight="1" x14ac:dyDescent="0.3">
      <c r="A142" s="1701"/>
      <c r="B142" s="1662"/>
      <c r="C142" s="2218"/>
      <c r="D142" s="2219"/>
      <c r="E142" s="2248"/>
      <c r="F142" s="2295"/>
      <c r="G142" s="2263"/>
      <c r="H142" s="2259"/>
      <c r="I142" s="215" t="s">
        <v>24</v>
      </c>
      <c r="J142" s="2">
        <f>SUM(J141)</f>
        <v>34</v>
      </c>
      <c r="K142" s="271">
        <f>SUM(K140:K141)</f>
        <v>0</v>
      </c>
      <c r="L142" s="282">
        <f>SUM(L140:L141)</f>
        <v>0</v>
      </c>
    </row>
    <row r="143" spans="1:12" ht="15" thickBot="1" x14ac:dyDescent="0.35">
      <c r="A143" s="218" t="s">
        <v>25</v>
      </c>
      <c r="B143" s="458" t="s">
        <v>15</v>
      </c>
      <c r="C143" s="2963" t="s">
        <v>80</v>
      </c>
      <c r="D143" s="2990"/>
      <c r="E143" s="2990"/>
      <c r="F143" s="2990"/>
      <c r="G143" s="2990"/>
      <c r="H143" s="2990"/>
      <c r="I143" s="2991"/>
      <c r="J143" s="459">
        <f>J107+J110+J127+J137+J140+J142</f>
        <v>2959.16</v>
      </c>
      <c r="K143" s="460">
        <f>K107+K110+K127+K137+K140</f>
        <v>1693.2</v>
      </c>
      <c r="L143" s="461">
        <f>L107+L110+L127+L137+L140</f>
        <v>1693.2</v>
      </c>
    </row>
    <row r="144" spans="1:12" x14ac:dyDescent="0.3">
      <c r="A144" s="429" t="s">
        <v>25</v>
      </c>
      <c r="B144" s="446"/>
      <c r="C144" s="182"/>
      <c r="D144" s="182"/>
      <c r="E144" s="182"/>
      <c r="F144" s="182"/>
      <c r="G144" s="182"/>
      <c r="H144" s="182"/>
      <c r="I144" s="462" t="s">
        <v>83</v>
      </c>
      <c r="J144" s="449">
        <f>J143</f>
        <v>2959.16</v>
      </c>
      <c r="K144" s="449">
        <f t="shared" ref="K144:L144" si="16">K143</f>
        <v>1693.2</v>
      </c>
      <c r="L144" s="463">
        <f t="shared" si="16"/>
        <v>1693.2</v>
      </c>
    </row>
    <row r="145" spans="1:12" x14ac:dyDescent="0.3">
      <c r="A145" s="181" t="s">
        <v>27</v>
      </c>
      <c r="B145" s="464" t="s">
        <v>412</v>
      </c>
      <c r="C145" s="447"/>
      <c r="D145" s="447"/>
      <c r="E145" s="447"/>
      <c r="F145" s="447"/>
      <c r="G145" s="447"/>
      <c r="H145" s="447"/>
      <c r="I145" s="447"/>
      <c r="J145" s="451"/>
      <c r="K145" s="451"/>
      <c r="L145" s="452"/>
    </row>
    <row r="146" spans="1:12" ht="24.75" customHeight="1" x14ac:dyDescent="0.3">
      <c r="A146" s="465" t="s">
        <v>27</v>
      </c>
      <c r="B146" s="466" t="s">
        <v>15</v>
      </c>
      <c r="C146" s="2992" t="s">
        <v>413</v>
      </c>
      <c r="D146" s="2993"/>
      <c r="E146" s="2993"/>
      <c r="F146" s="2993"/>
      <c r="G146" s="2993"/>
      <c r="H146" s="2993"/>
      <c r="I146" s="2993"/>
      <c r="J146" s="2993"/>
      <c r="K146" s="2993"/>
      <c r="L146" s="2994"/>
    </row>
    <row r="147" spans="1:12" x14ac:dyDescent="0.3">
      <c r="A147" s="1693" t="s">
        <v>27</v>
      </c>
      <c r="B147" s="2938" t="s">
        <v>15</v>
      </c>
      <c r="C147" s="1946" t="s">
        <v>15</v>
      </c>
      <c r="D147" s="2057" t="s">
        <v>414</v>
      </c>
      <c r="E147" s="1997" t="s">
        <v>19</v>
      </c>
      <c r="F147" s="2294" t="s">
        <v>20</v>
      </c>
      <c r="G147" s="1999" t="s">
        <v>115</v>
      </c>
      <c r="H147" s="2981" t="s">
        <v>22</v>
      </c>
      <c r="I147" s="253" t="s">
        <v>23</v>
      </c>
      <c r="J147" s="710">
        <f>20-20</f>
        <v>0</v>
      </c>
      <c r="K147" s="711">
        <v>20</v>
      </c>
      <c r="L147" s="238">
        <v>20</v>
      </c>
    </row>
    <row r="148" spans="1:12" x14ac:dyDescent="0.3">
      <c r="A148" s="1693"/>
      <c r="B148" s="2938"/>
      <c r="C148" s="1946"/>
      <c r="D148" s="2057"/>
      <c r="E148" s="1997"/>
      <c r="F148" s="2294"/>
      <c r="G148" s="1999"/>
      <c r="H148" s="2981"/>
      <c r="I148" s="257" t="s">
        <v>284</v>
      </c>
      <c r="J148" s="310">
        <v>63</v>
      </c>
      <c r="K148" s="310">
        <v>0</v>
      </c>
      <c r="L148" s="242">
        <v>0</v>
      </c>
    </row>
    <row r="149" spans="1:12" x14ac:dyDescent="0.3">
      <c r="A149" s="1693"/>
      <c r="B149" s="2938"/>
      <c r="C149" s="1946"/>
      <c r="D149" s="2057"/>
      <c r="E149" s="1997"/>
      <c r="F149" s="2294"/>
      <c r="G149" s="1999"/>
      <c r="H149" s="2292"/>
      <c r="I149" s="1315" t="s">
        <v>30</v>
      </c>
      <c r="J149" s="1280">
        <v>196.4</v>
      </c>
      <c r="K149" s="1215">
        <v>0</v>
      </c>
      <c r="L149" s="1307">
        <v>0</v>
      </c>
    </row>
    <row r="150" spans="1:12" ht="18.75" customHeight="1" thickBot="1" x14ac:dyDescent="0.35">
      <c r="A150" s="2935"/>
      <c r="B150" s="2939"/>
      <c r="C150" s="2218"/>
      <c r="D150" s="2940"/>
      <c r="E150" s="2220"/>
      <c r="F150" s="2295"/>
      <c r="G150" s="2263"/>
      <c r="H150" s="1666"/>
      <c r="I150" s="215" t="s">
        <v>24</v>
      </c>
      <c r="J150" s="427">
        <f>SUM(J147:J149)</f>
        <v>259.39999999999998</v>
      </c>
      <c r="K150" s="271">
        <f t="shared" ref="K150:L150" si="17">SUM(K147:K149)</f>
        <v>20</v>
      </c>
      <c r="L150" s="283">
        <f t="shared" si="17"/>
        <v>20</v>
      </c>
    </row>
    <row r="151" spans="1:12" ht="26.25" customHeight="1" thickBot="1" x14ac:dyDescent="0.35">
      <c r="A151" s="1588" t="s">
        <v>27</v>
      </c>
      <c r="B151" s="3140" t="s">
        <v>15</v>
      </c>
      <c r="C151" s="1926" t="s">
        <v>25</v>
      </c>
      <c r="D151" s="2926" t="s">
        <v>415</v>
      </c>
      <c r="E151" s="1996" t="s">
        <v>177</v>
      </c>
      <c r="F151" s="2293" t="s">
        <v>20</v>
      </c>
      <c r="G151" s="1998" t="s">
        <v>115</v>
      </c>
      <c r="H151" s="1664" t="s">
        <v>22</v>
      </c>
      <c r="I151" s="712" t="s">
        <v>23</v>
      </c>
      <c r="J151" s="467">
        <f>80-30</f>
        <v>50</v>
      </c>
      <c r="K151" s="468">
        <v>20</v>
      </c>
      <c r="L151" s="469">
        <v>20</v>
      </c>
    </row>
    <row r="152" spans="1:12" ht="24" customHeight="1" thickBot="1" x14ac:dyDescent="0.35">
      <c r="A152" s="1701"/>
      <c r="B152" s="2939"/>
      <c r="C152" s="2218"/>
      <c r="D152" s="2927"/>
      <c r="E152" s="2220"/>
      <c r="F152" s="2295"/>
      <c r="G152" s="2263"/>
      <c r="H152" s="1666"/>
      <c r="I152" s="488" t="s">
        <v>24</v>
      </c>
      <c r="J152" s="2">
        <f>SUM(J151)</f>
        <v>50</v>
      </c>
      <c r="K152" s="271">
        <f t="shared" ref="K152:L152" si="18">SUM(K151)</f>
        <v>20</v>
      </c>
      <c r="L152" s="283">
        <f t="shared" si="18"/>
        <v>20</v>
      </c>
    </row>
    <row r="153" spans="1:12" ht="24" customHeight="1" thickBot="1" x14ac:dyDescent="0.35">
      <c r="A153" s="1588" t="s">
        <v>27</v>
      </c>
      <c r="B153" s="1590" t="s">
        <v>15</v>
      </c>
      <c r="C153" s="1926" t="s">
        <v>27</v>
      </c>
      <c r="D153" s="2926" t="s">
        <v>496</v>
      </c>
      <c r="E153" s="1996" t="s">
        <v>177</v>
      </c>
      <c r="F153" s="2293" t="s">
        <v>20</v>
      </c>
      <c r="G153" s="1998" t="s">
        <v>115</v>
      </c>
      <c r="H153" s="1664" t="s">
        <v>22</v>
      </c>
      <c r="I153" s="712" t="s">
        <v>23</v>
      </c>
      <c r="J153" s="467">
        <f>30-30</f>
        <v>0</v>
      </c>
      <c r="K153" s="468">
        <v>20</v>
      </c>
      <c r="L153" s="469">
        <v>20</v>
      </c>
    </row>
    <row r="154" spans="1:12" ht="28.5" customHeight="1" thickBot="1" x14ac:dyDescent="0.35">
      <c r="A154" s="1701"/>
      <c r="B154" s="1662"/>
      <c r="C154" s="2218"/>
      <c r="D154" s="2927"/>
      <c r="E154" s="2220"/>
      <c r="F154" s="2295"/>
      <c r="G154" s="2263"/>
      <c r="H154" s="1666"/>
      <c r="I154" s="488" t="s">
        <v>24</v>
      </c>
      <c r="J154" s="2">
        <f>SUM(J153)</f>
        <v>0</v>
      </c>
      <c r="K154" s="271">
        <f t="shared" ref="K154:L154" si="19">SUM(K153)</f>
        <v>20</v>
      </c>
      <c r="L154" s="425">
        <f t="shared" si="19"/>
        <v>20</v>
      </c>
    </row>
    <row r="155" spans="1:12" ht="15" thickBot="1" x14ac:dyDescent="0.35">
      <c r="A155" s="429" t="s">
        <v>27</v>
      </c>
      <c r="B155" s="84" t="s">
        <v>15</v>
      </c>
      <c r="C155" s="2958" t="s">
        <v>80</v>
      </c>
      <c r="D155" s="2959"/>
      <c r="E155" s="2960"/>
      <c r="F155" s="2960"/>
      <c r="G155" s="2960"/>
      <c r="H155" s="2960"/>
      <c r="I155" s="2960"/>
      <c r="J155" s="470">
        <f>J150+J152+J154</f>
        <v>309.39999999999998</v>
      </c>
      <c r="K155" s="471">
        <f>K150+K152+K154</f>
        <v>60</v>
      </c>
      <c r="L155" s="1363">
        <f>L150+L152+L154</f>
        <v>60</v>
      </c>
    </row>
    <row r="156" spans="1:12" ht="15" thickBot="1" x14ac:dyDescent="0.35">
      <c r="A156" s="304" t="s">
        <v>27</v>
      </c>
      <c r="B156" s="226" t="s">
        <v>25</v>
      </c>
      <c r="C156" s="389" t="s">
        <v>416</v>
      </c>
      <c r="D156" s="382"/>
      <c r="E156" s="382"/>
      <c r="F156" s="382"/>
      <c r="G156" s="382"/>
      <c r="H156" s="382"/>
      <c r="I156" s="382"/>
      <c r="J156" s="390"/>
      <c r="K156" s="390"/>
      <c r="L156" s="1362"/>
    </row>
    <row r="157" spans="1:12" ht="33.75" customHeight="1" x14ac:dyDescent="0.3">
      <c r="A157" s="1692" t="s">
        <v>27</v>
      </c>
      <c r="B157" s="2369" t="s">
        <v>25</v>
      </c>
      <c r="C157" s="2379" t="s">
        <v>15</v>
      </c>
      <c r="D157" s="3036" t="s">
        <v>417</v>
      </c>
      <c r="E157" s="1997" t="s">
        <v>177</v>
      </c>
      <c r="F157" s="2294" t="s">
        <v>20</v>
      </c>
      <c r="G157" s="709" t="s">
        <v>115</v>
      </c>
      <c r="H157" s="2962" t="s">
        <v>22</v>
      </c>
      <c r="I157" s="713" t="s">
        <v>23</v>
      </c>
      <c r="J157" s="264">
        <v>10</v>
      </c>
      <c r="K157" s="265">
        <v>10</v>
      </c>
      <c r="L157" s="266">
        <v>10</v>
      </c>
    </row>
    <row r="158" spans="1:12" ht="14.4" customHeight="1" thickBot="1" x14ac:dyDescent="0.35">
      <c r="A158" s="1693"/>
      <c r="B158" s="2381"/>
      <c r="C158" s="2379"/>
      <c r="D158" s="3036"/>
      <c r="E158" s="1997"/>
      <c r="F158" s="2294"/>
      <c r="G158" s="3143" t="s">
        <v>116</v>
      </c>
      <c r="H158" s="2258"/>
      <c r="I158" s="1105" t="s">
        <v>30</v>
      </c>
      <c r="J158" s="1280">
        <v>10</v>
      </c>
      <c r="K158" s="1215">
        <v>0</v>
      </c>
      <c r="L158" s="1307">
        <v>0</v>
      </c>
    </row>
    <row r="159" spans="1:12" ht="15.75" customHeight="1" thickBot="1" x14ac:dyDescent="0.35">
      <c r="A159" s="2465"/>
      <c r="B159" s="3141"/>
      <c r="C159" s="2473"/>
      <c r="D159" s="3142"/>
      <c r="E159" s="2220"/>
      <c r="F159" s="2295"/>
      <c r="G159" s="2263"/>
      <c r="H159" s="2539"/>
      <c r="I159" s="714" t="s">
        <v>24</v>
      </c>
      <c r="J159" s="472">
        <f>SUM(J157:J158)</f>
        <v>20</v>
      </c>
      <c r="K159" s="473">
        <f t="shared" ref="K159:L159" si="20">SUM(K157:K158)</f>
        <v>10</v>
      </c>
      <c r="L159" s="425">
        <f t="shared" si="20"/>
        <v>10</v>
      </c>
    </row>
    <row r="160" spans="1:12" ht="14.25" customHeight="1" thickBot="1" x14ac:dyDescent="0.35">
      <c r="A160" s="1692" t="s">
        <v>27</v>
      </c>
      <c r="B160" s="2369" t="s">
        <v>25</v>
      </c>
      <c r="C160" s="2408" t="s">
        <v>25</v>
      </c>
      <c r="D160" s="2533" t="s">
        <v>418</v>
      </c>
      <c r="E160" s="1996" t="s">
        <v>177</v>
      </c>
      <c r="F160" s="2293" t="s">
        <v>20</v>
      </c>
      <c r="G160" s="3043" t="s">
        <v>115</v>
      </c>
      <c r="H160" s="2961" t="s">
        <v>22</v>
      </c>
      <c r="I160" s="715" t="s">
        <v>23</v>
      </c>
      <c r="J160" s="474">
        <v>2</v>
      </c>
      <c r="K160" s="475">
        <v>2</v>
      </c>
      <c r="L160" s="476">
        <v>2</v>
      </c>
    </row>
    <row r="161" spans="1:12" ht="22.95" customHeight="1" thickBot="1" x14ac:dyDescent="0.35">
      <c r="A161" s="2935"/>
      <c r="B161" s="2381"/>
      <c r="C161" s="2379"/>
      <c r="D161" s="3036"/>
      <c r="E161" s="1997"/>
      <c r="F161" s="2294"/>
      <c r="G161" s="1999"/>
      <c r="H161" s="2292"/>
      <c r="I161" s="716" t="s">
        <v>24</v>
      </c>
      <c r="J161" s="29">
        <f>SUM(J160)</f>
        <v>2</v>
      </c>
      <c r="K161" s="477">
        <f t="shared" ref="K161:L161" si="21">SUM(K160)</f>
        <v>2</v>
      </c>
      <c r="L161" s="478">
        <f t="shared" si="21"/>
        <v>2</v>
      </c>
    </row>
    <row r="162" spans="1:12" ht="23.25" customHeight="1" thickBot="1" x14ac:dyDescent="0.35">
      <c r="A162" s="3030" t="s">
        <v>27</v>
      </c>
      <c r="B162" s="3125" t="s">
        <v>25</v>
      </c>
      <c r="C162" s="1925" t="s">
        <v>27</v>
      </c>
      <c r="D162" s="1921" t="s">
        <v>419</v>
      </c>
      <c r="E162" s="3018" t="s">
        <v>177</v>
      </c>
      <c r="F162" s="3120" t="s">
        <v>20</v>
      </c>
      <c r="G162" s="3138" t="s">
        <v>115</v>
      </c>
      <c r="H162" s="3069" t="s">
        <v>420</v>
      </c>
      <c r="I162" s="917" t="s">
        <v>23</v>
      </c>
      <c r="J162" s="479">
        <f>30-18.1-11.9</f>
        <v>0</v>
      </c>
      <c r="K162" s="480">
        <v>30</v>
      </c>
      <c r="L162" s="481">
        <v>30</v>
      </c>
    </row>
    <row r="163" spans="1:12" ht="28.5" customHeight="1" thickBot="1" x14ac:dyDescent="0.35">
      <c r="A163" s="3031"/>
      <c r="B163" s="3126"/>
      <c r="C163" s="3074"/>
      <c r="D163" s="3103"/>
      <c r="E163" s="3040"/>
      <c r="F163" s="3121"/>
      <c r="G163" s="3139"/>
      <c r="H163" s="3119"/>
      <c r="I163" s="717" t="s">
        <v>24</v>
      </c>
      <c r="J163" s="482">
        <f>SUM(J162)</f>
        <v>0</v>
      </c>
      <c r="K163" s="483">
        <f t="shared" ref="K163:L163" si="22">SUM(K162)</f>
        <v>30</v>
      </c>
      <c r="L163" s="283">
        <f t="shared" si="22"/>
        <v>30</v>
      </c>
    </row>
    <row r="164" spans="1:12" x14ac:dyDescent="0.3">
      <c r="A164" s="63" t="s">
        <v>27</v>
      </c>
      <c r="B164" s="219" t="s">
        <v>25</v>
      </c>
      <c r="C164" s="2963" t="s">
        <v>80</v>
      </c>
      <c r="D164" s="2964"/>
      <c r="E164" s="2964"/>
      <c r="F164" s="2964"/>
      <c r="G164" s="2964"/>
      <c r="H164" s="2964"/>
      <c r="I164" s="3039"/>
      <c r="J164" s="484">
        <f>J159+J161+J163</f>
        <v>22</v>
      </c>
      <c r="K164" s="296">
        <f>K159+K161+K163</f>
        <v>42</v>
      </c>
      <c r="L164" s="307">
        <f t="shared" ref="L164" si="23">L159+L161+L163</f>
        <v>42</v>
      </c>
    </row>
    <row r="165" spans="1:12" ht="19.5" customHeight="1" thickBot="1" x14ac:dyDescent="0.35">
      <c r="A165" s="446" t="s">
        <v>27</v>
      </c>
      <c r="B165" s="278" t="s">
        <v>27</v>
      </c>
      <c r="C165" s="485" t="s">
        <v>421</v>
      </c>
      <c r="D165" s="486"/>
      <c r="E165" s="486"/>
      <c r="F165" s="486"/>
      <c r="G165" s="486"/>
      <c r="H165" s="486"/>
      <c r="I165" s="486"/>
      <c r="J165" s="486"/>
      <c r="K165" s="486"/>
      <c r="L165" s="487"/>
    </row>
    <row r="166" spans="1:12" ht="18" customHeight="1" x14ac:dyDescent="0.3">
      <c r="A166" s="2443" t="s">
        <v>27</v>
      </c>
      <c r="B166" s="2235" t="s">
        <v>27</v>
      </c>
      <c r="C166" s="2430" t="s">
        <v>15</v>
      </c>
      <c r="D166" s="3037" t="s">
        <v>422</v>
      </c>
      <c r="E166" s="1996" t="s">
        <v>19</v>
      </c>
      <c r="F166" s="2293" t="s">
        <v>20</v>
      </c>
      <c r="G166" s="1998" t="s">
        <v>116</v>
      </c>
      <c r="H166" s="2961" t="s">
        <v>22</v>
      </c>
      <c r="I166" s="718" t="s">
        <v>23</v>
      </c>
      <c r="J166" s="719">
        <v>8</v>
      </c>
      <c r="K166" s="719">
        <v>8</v>
      </c>
      <c r="L166" s="618">
        <v>8</v>
      </c>
    </row>
    <row r="167" spans="1:12" ht="20.25" customHeight="1" x14ac:dyDescent="0.3">
      <c r="A167" s="2510"/>
      <c r="B167" s="2278"/>
      <c r="C167" s="2431"/>
      <c r="D167" s="2433"/>
      <c r="E167" s="1997"/>
      <c r="F167" s="2294"/>
      <c r="G167" s="1999"/>
      <c r="H167" s="1995"/>
      <c r="I167" s="720" t="s">
        <v>54</v>
      </c>
      <c r="J167" s="443">
        <v>14</v>
      </c>
      <c r="K167" s="443">
        <v>0</v>
      </c>
      <c r="L167" s="444">
        <v>0</v>
      </c>
    </row>
    <row r="168" spans="1:12" ht="28.5" customHeight="1" x14ac:dyDescent="0.3">
      <c r="A168" s="2510"/>
      <c r="B168" s="2278"/>
      <c r="C168" s="2431"/>
      <c r="D168" s="2433"/>
      <c r="E168" s="1997"/>
      <c r="F168" s="2294"/>
      <c r="G168" s="1999"/>
      <c r="H168" s="1995"/>
      <c r="I168" s="721" t="s">
        <v>30</v>
      </c>
      <c r="J168" s="722">
        <f>0.7+93.7</f>
        <v>94.4</v>
      </c>
      <c r="K168" s="722">
        <v>0</v>
      </c>
      <c r="L168" s="723">
        <v>0</v>
      </c>
    </row>
    <row r="169" spans="1:12" ht="96.75" customHeight="1" x14ac:dyDescent="0.3">
      <c r="A169" s="2444"/>
      <c r="B169" s="2236"/>
      <c r="C169" s="2602"/>
      <c r="D169" s="3038"/>
      <c r="E169" s="2220"/>
      <c r="F169" s="2295"/>
      <c r="G169" s="2263"/>
      <c r="H169" s="1666"/>
      <c r="I169" s="488" t="s">
        <v>24</v>
      </c>
      <c r="J169" s="489">
        <f>SUM(J166:J168)</f>
        <v>116.4</v>
      </c>
      <c r="K169" s="489">
        <f>SUM(K166:K168)</f>
        <v>8</v>
      </c>
      <c r="L169" s="425">
        <f t="shared" ref="L169" si="24">SUM(L166:L168)</f>
        <v>8</v>
      </c>
    </row>
    <row r="170" spans="1:12" ht="18" customHeight="1" thickBot="1" x14ac:dyDescent="0.35">
      <c r="A170" s="63" t="s">
        <v>27</v>
      </c>
      <c r="B170" s="219" t="s">
        <v>27</v>
      </c>
      <c r="C170" s="2963" t="s">
        <v>80</v>
      </c>
      <c r="D170" s="2964"/>
      <c r="E170" s="2964"/>
      <c r="F170" s="2964"/>
      <c r="G170" s="2964"/>
      <c r="H170" s="2964"/>
      <c r="I170" s="2964"/>
      <c r="J170" s="490">
        <f>J169</f>
        <v>116.4</v>
      </c>
      <c r="K170" s="490">
        <f>K169</f>
        <v>8</v>
      </c>
      <c r="L170" s="491">
        <f t="shared" ref="L170" si="25">L169</f>
        <v>8</v>
      </c>
    </row>
    <row r="171" spans="1:12" x14ac:dyDescent="0.3">
      <c r="A171" s="87" t="s">
        <v>27</v>
      </c>
      <c r="B171" s="3127" t="s">
        <v>83</v>
      </c>
      <c r="C171" s="3128"/>
      <c r="D171" s="3128"/>
      <c r="E171" s="3128"/>
      <c r="F171" s="3128"/>
      <c r="G171" s="3128"/>
      <c r="H171" s="3129"/>
      <c r="I171" s="3130"/>
      <c r="J171" s="492">
        <f>J155+J164+J170</f>
        <v>447.79999999999995</v>
      </c>
      <c r="K171" s="492">
        <f t="shared" ref="K171:L171" si="26">K155+K164+K170</f>
        <v>110</v>
      </c>
      <c r="L171" s="493">
        <f t="shared" si="26"/>
        <v>110</v>
      </c>
    </row>
    <row r="172" spans="1:12" ht="14.4" customHeight="1" thickBot="1" x14ac:dyDescent="0.35">
      <c r="A172" s="63" t="s">
        <v>31</v>
      </c>
      <c r="B172" s="464" t="s">
        <v>423</v>
      </c>
      <c r="C172" s="494"/>
      <c r="D172" s="494"/>
      <c r="E172" s="494"/>
      <c r="F172" s="494"/>
      <c r="G172" s="494"/>
      <c r="H172" s="494"/>
      <c r="I172" s="494"/>
      <c r="J172" s="451"/>
      <c r="K172" s="451"/>
      <c r="L172" s="495"/>
    </row>
    <row r="173" spans="1:12" ht="18.600000000000001" customHeight="1" thickBot="1" x14ac:dyDescent="0.35">
      <c r="A173" s="181" t="s">
        <v>31</v>
      </c>
      <c r="B173" s="84" t="s">
        <v>15</v>
      </c>
      <c r="C173" s="99" t="s">
        <v>424</v>
      </c>
      <c r="D173" s="88"/>
      <c r="E173" s="88"/>
      <c r="F173" s="88"/>
      <c r="G173" s="88"/>
      <c r="H173" s="88"/>
      <c r="I173" s="88"/>
      <c r="J173" s="496"/>
      <c r="K173" s="496"/>
      <c r="L173" s="497"/>
    </row>
    <row r="174" spans="1:12" ht="17.25" customHeight="1" thickBot="1" x14ac:dyDescent="0.35">
      <c r="A174" s="1692" t="s">
        <v>31</v>
      </c>
      <c r="B174" s="2951" t="s">
        <v>15</v>
      </c>
      <c r="C174" s="1926" t="s">
        <v>15</v>
      </c>
      <c r="D174" s="2066" t="s">
        <v>425</v>
      </c>
      <c r="E174" s="1997" t="s">
        <v>19</v>
      </c>
      <c r="F174" s="2294" t="s">
        <v>20</v>
      </c>
      <c r="G174" s="1999" t="s">
        <v>178</v>
      </c>
      <c r="H174" s="2981" t="s">
        <v>22</v>
      </c>
      <c r="I174" s="498" t="s">
        <v>23</v>
      </c>
      <c r="J174" s="499">
        <f>45+0.5</f>
        <v>45.5</v>
      </c>
      <c r="K174" s="500">
        <v>45</v>
      </c>
      <c r="L174" s="236">
        <v>45</v>
      </c>
    </row>
    <row r="175" spans="1:12" ht="15.75" customHeight="1" thickBot="1" x14ac:dyDescent="0.35">
      <c r="A175" s="2935"/>
      <c r="B175" s="2952"/>
      <c r="C175" s="2218"/>
      <c r="D175" s="2219"/>
      <c r="E175" s="2220"/>
      <c r="F175" s="2295"/>
      <c r="G175" s="2263"/>
      <c r="H175" s="1666"/>
      <c r="I175" s="215" t="s">
        <v>24</v>
      </c>
      <c r="J175" s="2">
        <f>SUM(J174)</f>
        <v>45.5</v>
      </c>
      <c r="K175" s="271">
        <f t="shared" ref="K175:L175" si="27">SUM(K174)</f>
        <v>45</v>
      </c>
      <c r="L175" s="283">
        <f t="shared" si="27"/>
        <v>45</v>
      </c>
    </row>
    <row r="176" spans="1:12" ht="54.75" customHeight="1" thickBot="1" x14ac:dyDescent="0.35">
      <c r="A176" s="1588" t="s">
        <v>31</v>
      </c>
      <c r="B176" s="1590" t="s">
        <v>15</v>
      </c>
      <c r="C176" s="1926" t="s">
        <v>25</v>
      </c>
      <c r="D176" s="2066" t="s">
        <v>426</v>
      </c>
      <c r="E176" s="1996" t="s">
        <v>177</v>
      </c>
      <c r="F176" s="2293" t="s">
        <v>20</v>
      </c>
      <c r="G176" s="1999" t="s">
        <v>178</v>
      </c>
      <c r="H176" s="1994" t="s">
        <v>427</v>
      </c>
      <c r="I176" s="501" t="s">
        <v>23</v>
      </c>
      <c r="J176" s="502">
        <f>140-3.5-94</f>
        <v>42.5</v>
      </c>
      <c r="K176" s="502">
        <v>80</v>
      </c>
      <c r="L176" s="502">
        <v>80</v>
      </c>
    </row>
    <row r="177" spans="1:12" ht="21.75" customHeight="1" thickBot="1" x14ac:dyDescent="0.35">
      <c r="A177" s="1701"/>
      <c r="B177" s="1662"/>
      <c r="C177" s="2218"/>
      <c r="D177" s="2219"/>
      <c r="E177" s="2220"/>
      <c r="F177" s="2295"/>
      <c r="G177" s="2263"/>
      <c r="H177" s="1666"/>
      <c r="I177" s="215" t="s">
        <v>24</v>
      </c>
      <c r="J177" s="4">
        <f>SUM(J176)</f>
        <v>42.5</v>
      </c>
      <c r="K177" s="4">
        <f t="shared" ref="K177:L177" si="28">SUM(K176)</f>
        <v>80</v>
      </c>
      <c r="L177" s="4">
        <f t="shared" si="28"/>
        <v>80</v>
      </c>
    </row>
    <row r="178" spans="1:12" ht="44.25" customHeight="1" x14ac:dyDescent="0.3">
      <c r="A178" s="1588" t="s">
        <v>31</v>
      </c>
      <c r="B178" s="1590" t="s">
        <v>15</v>
      </c>
      <c r="C178" s="1926" t="s">
        <v>27</v>
      </c>
      <c r="D178" s="2066" t="s">
        <v>428</v>
      </c>
      <c r="E178" s="1996" t="s">
        <v>19</v>
      </c>
      <c r="F178" s="2293" t="s">
        <v>20</v>
      </c>
      <c r="G178" s="1999" t="s">
        <v>178</v>
      </c>
      <c r="H178" s="3042" t="s">
        <v>22</v>
      </c>
      <c r="I178" s="503" t="s">
        <v>23</v>
      </c>
      <c r="J178" s="455">
        <v>17.600000000000001</v>
      </c>
      <c r="K178" s="455">
        <v>0</v>
      </c>
      <c r="L178" s="504">
        <v>0</v>
      </c>
    </row>
    <row r="179" spans="1:12" ht="19.5" customHeight="1" thickBot="1" x14ac:dyDescent="0.35">
      <c r="A179" s="1701"/>
      <c r="B179" s="1662"/>
      <c r="C179" s="2218"/>
      <c r="D179" s="2219"/>
      <c r="E179" s="2220"/>
      <c r="F179" s="2295"/>
      <c r="G179" s="2263"/>
      <c r="H179" s="1666"/>
      <c r="I179" s="724" t="s">
        <v>24</v>
      </c>
      <c r="J179" s="725">
        <f>SUM(J178)</f>
        <v>17.600000000000001</v>
      </c>
      <c r="K179" s="725">
        <f t="shared" ref="K179:L179" si="29">SUM(K178)</f>
        <v>0</v>
      </c>
      <c r="L179" s="725">
        <f t="shared" si="29"/>
        <v>0</v>
      </c>
    </row>
    <row r="180" spans="1:12" ht="15" customHeight="1" thickBot="1" x14ac:dyDescent="0.35">
      <c r="A180" s="62" t="s">
        <v>31</v>
      </c>
      <c r="B180" s="84" t="s">
        <v>25</v>
      </c>
      <c r="C180" s="226"/>
      <c r="D180" s="88"/>
      <c r="E180" s="88"/>
      <c r="F180" s="88"/>
      <c r="G180" s="88"/>
      <c r="H180" s="88"/>
      <c r="I180" s="505" t="s">
        <v>80</v>
      </c>
      <c r="J180" s="286">
        <f>J175+J177+J179</f>
        <v>105.6</v>
      </c>
      <c r="K180" s="286">
        <f>K175+K177+K179</f>
        <v>125</v>
      </c>
      <c r="L180" s="286">
        <f t="shared" ref="L180" si="30">L175+L177+L179</f>
        <v>125</v>
      </c>
    </row>
    <row r="181" spans="1:12" ht="15" customHeight="1" thickBot="1" x14ac:dyDescent="0.35">
      <c r="A181" s="87" t="s">
        <v>31</v>
      </c>
      <c r="B181" s="506"/>
      <c r="C181" s="506"/>
      <c r="D181" s="506"/>
      <c r="E181" s="506"/>
      <c r="F181" s="506"/>
      <c r="G181" s="506"/>
      <c r="H181" s="506"/>
      <c r="I181" s="507" t="s">
        <v>83</v>
      </c>
      <c r="J181" s="178">
        <f>J180</f>
        <v>105.6</v>
      </c>
      <c r="K181" s="178">
        <f t="shared" ref="K181:L181" si="31">K180</f>
        <v>125</v>
      </c>
      <c r="L181" s="178">
        <f t="shared" si="31"/>
        <v>125</v>
      </c>
    </row>
    <row r="182" spans="1:12" ht="15" customHeight="1" thickBot="1" x14ac:dyDescent="0.35">
      <c r="A182" s="62" t="s">
        <v>33</v>
      </c>
      <c r="B182" s="450" t="s">
        <v>429</v>
      </c>
      <c r="C182" s="64"/>
      <c r="D182" s="64"/>
      <c r="E182" s="64"/>
      <c r="F182" s="64"/>
      <c r="G182" s="64"/>
      <c r="H182" s="64"/>
      <c r="I182" s="64"/>
      <c r="J182" s="105"/>
      <c r="K182" s="105"/>
      <c r="L182" s="508"/>
    </row>
    <row r="183" spans="1:12" ht="15" customHeight="1" thickBot="1" x14ac:dyDescent="0.35">
      <c r="A183" s="62" t="s">
        <v>33</v>
      </c>
      <c r="B183" s="84" t="s">
        <v>15</v>
      </c>
      <c r="C183" s="99" t="s">
        <v>430</v>
      </c>
      <c r="D183" s="88"/>
      <c r="E183" s="726"/>
      <c r="F183" s="726"/>
      <c r="G183" s="726"/>
      <c r="H183" s="726"/>
      <c r="I183" s="727"/>
      <c r="J183" s="728"/>
      <c r="K183" s="728"/>
      <c r="L183" s="729"/>
    </row>
    <row r="184" spans="1:12" ht="15" customHeight="1" thickBot="1" x14ac:dyDescent="0.35">
      <c r="A184" s="1588" t="s">
        <v>33</v>
      </c>
      <c r="B184" s="1590" t="s">
        <v>15</v>
      </c>
      <c r="C184" s="1926" t="s">
        <v>15</v>
      </c>
      <c r="D184" s="2066" t="s">
        <v>431</v>
      </c>
      <c r="E184" s="1996" t="s">
        <v>19</v>
      </c>
      <c r="F184" s="2293" t="s">
        <v>20</v>
      </c>
      <c r="G184" s="1998" t="s">
        <v>178</v>
      </c>
      <c r="H184" s="3041" t="s">
        <v>432</v>
      </c>
      <c r="I184" s="918" t="s">
        <v>23</v>
      </c>
      <c r="J184" s="919">
        <v>50</v>
      </c>
      <c r="K184" s="919">
        <v>50</v>
      </c>
      <c r="L184" s="920">
        <v>50</v>
      </c>
    </row>
    <row r="185" spans="1:12" ht="15" customHeight="1" thickBot="1" x14ac:dyDescent="0.35">
      <c r="A185" s="1701"/>
      <c r="B185" s="1662"/>
      <c r="C185" s="2218"/>
      <c r="D185" s="2219"/>
      <c r="E185" s="2220"/>
      <c r="F185" s="2295"/>
      <c r="G185" s="2263"/>
      <c r="H185" s="2539"/>
      <c r="I185" s="488" t="s">
        <v>24</v>
      </c>
      <c r="J185" s="36">
        <f>SUM(J184)</f>
        <v>50</v>
      </c>
      <c r="K185" s="36">
        <f t="shared" ref="K185:L185" si="32">SUM(K184)</f>
        <v>50</v>
      </c>
      <c r="L185" s="283">
        <f t="shared" si="32"/>
        <v>50</v>
      </c>
    </row>
    <row r="186" spans="1:12" ht="18" customHeight="1" thickBot="1" x14ac:dyDescent="0.35">
      <c r="A186" s="1588" t="s">
        <v>33</v>
      </c>
      <c r="B186" s="1590" t="s">
        <v>15</v>
      </c>
      <c r="C186" s="1926" t="s">
        <v>25</v>
      </c>
      <c r="D186" s="2066" t="s">
        <v>433</v>
      </c>
      <c r="E186" s="1996" t="s">
        <v>19</v>
      </c>
      <c r="F186" s="2293" t="s">
        <v>20</v>
      </c>
      <c r="G186" s="1998" t="s">
        <v>434</v>
      </c>
      <c r="H186" s="1994" t="s">
        <v>435</v>
      </c>
      <c r="I186" s="921" t="s">
        <v>23</v>
      </c>
      <c r="J186" s="922">
        <v>94</v>
      </c>
      <c r="K186" s="922">
        <v>94</v>
      </c>
      <c r="L186" s="923">
        <v>94</v>
      </c>
    </row>
    <row r="187" spans="1:12" ht="15" thickBot="1" x14ac:dyDescent="0.35">
      <c r="A187" s="1701"/>
      <c r="B187" s="1662"/>
      <c r="C187" s="2218"/>
      <c r="D187" s="2219"/>
      <c r="E187" s="2220"/>
      <c r="F187" s="2295"/>
      <c r="G187" s="2263"/>
      <c r="H187" s="1666"/>
      <c r="I187" s="1052" t="s">
        <v>24</v>
      </c>
      <c r="J187" s="1053">
        <f>SUM(J186)</f>
        <v>94</v>
      </c>
      <c r="K187" s="1053">
        <f t="shared" ref="K187:L187" si="33">SUM(K186)</f>
        <v>94</v>
      </c>
      <c r="L187" s="437">
        <f t="shared" si="33"/>
        <v>94</v>
      </c>
    </row>
    <row r="188" spans="1:12" ht="17.25" customHeight="1" thickBot="1" x14ac:dyDescent="0.35">
      <c r="A188" s="1588" t="s">
        <v>33</v>
      </c>
      <c r="B188" s="1590" t="s">
        <v>15</v>
      </c>
      <c r="C188" s="1926" t="s">
        <v>27</v>
      </c>
      <c r="D188" s="2926" t="s">
        <v>436</v>
      </c>
      <c r="E188" s="1996" t="s">
        <v>177</v>
      </c>
      <c r="F188" s="2293" t="s">
        <v>20</v>
      </c>
      <c r="G188" s="1998" t="s">
        <v>94</v>
      </c>
      <c r="H188" s="3042" t="s">
        <v>437</v>
      </c>
      <c r="I188" s="1360" t="s">
        <v>23</v>
      </c>
      <c r="J188" s="1361">
        <f>289.6-6.2-75-16.4-0.03</f>
        <v>191.97000000000003</v>
      </c>
      <c r="K188" s="1361">
        <v>0</v>
      </c>
      <c r="L188" s="882">
        <v>0</v>
      </c>
    </row>
    <row r="189" spans="1:12" ht="18.75" customHeight="1" thickBot="1" x14ac:dyDescent="0.35">
      <c r="A189" s="1589"/>
      <c r="B189" s="1591"/>
      <c r="C189" s="1946"/>
      <c r="D189" s="2106"/>
      <c r="E189" s="1997"/>
      <c r="F189" s="2294"/>
      <c r="G189" s="1999"/>
      <c r="H189" s="2980"/>
      <c r="I189" s="1357" t="s">
        <v>87</v>
      </c>
      <c r="J189" s="1358">
        <f>0+283.5</f>
        <v>283.5</v>
      </c>
      <c r="K189" s="1358">
        <v>0</v>
      </c>
      <c r="L189" s="1359">
        <v>0</v>
      </c>
    </row>
    <row r="190" spans="1:12" ht="33" customHeight="1" thickBot="1" x14ac:dyDescent="0.35">
      <c r="A190" s="1701"/>
      <c r="B190" s="1662"/>
      <c r="C190" s="2218"/>
      <c r="D190" s="2927"/>
      <c r="E190" s="2220"/>
      <c r="F190" s="2295"/>
      <c r="G190" s="2263"/>
      <c r="H190" s="1666"/>
      <c r="I190" s="635" t="s">
        <v>24</v>
      </c>
      <c r="J190" s="546">
        <f>SUM(J188:J189)</f>
        <v>475.47</v>
      </c>
      <c r="K190" s="546">
        <f t="shared" ref="K190:L190" si="34">SUM(K188)</f>
        <v>0</v>
      </c>
      <c r="L190" s="272">
        <f t="shared" si="34"/>
        <v>0</v>
      </c>
    </row>
    <row r="191" spans="1:12" ht="15" customHeight="1" thickBot="1" x14ac:dyDescent="0.35">
      <c r="A191" s="62" t="s">
        <v>33</v>
      </c>
      <c r="B191" s="84" t="s">
        <v>15</v>
      </c>
      <c r="C191" s="226"/>
      <c r="D191" s="88"/>
      <c r="E191" s="88"/>
      <c r="F191" s="88"/>
      <c r="G191" s="88"/>
      <c r="H191" s="88"/>
      <c r="I191" s="103" t="s">
        <v>80</v>
      </c>
      <c r="J191" s="313">
        <f>J185+J187+J190</f>
        <v>619.47</v>
      </c>
      <c r="K191" s="313">
        <f>K185+K187+K190</f>
        <v>144</v>
      </c>
      <c r="L191" s="313">
        <f>L185+L187+L190</f>
        <v>144</v>
      </c>
    </row>
    <row r="192" spans="1:12" ht="15" customHeight="1" thickBot="1" x14ac:dyDescent="0.35">
      <c r="A192" s="87" t="s">
        <v>33</v>
      </c>
      <c r="B192" s="506"/>
      <c r="C192" s="506"/>
      <c r="D192" s="506"/>
      <c r="E192" s="506"/>
      <c r="F192" s="506"/>
      <c r="G192" s="506"/>
      <c r="H192" s="506"/>
      <c r="I192" s="507" t="s">
        <v>83</v>
      </c>
      <c r="J192" s="178">
        <f>J191</f>
        <v>619.47</v>
      </c>
      <c r="K192" s="178">
        <f t="shared" ref="K192:L192" si="35">K191</f>
        <v>144</v>
      </c>
      <c r="L192" s="178">
        <f t="shared" si="35"/>
        <v>144</v>
      </c>
    </row>
    <row r="193" spans="1:12" ht="15" customHeight="1" thickBot="1" x14ac:dyDescent="0.35">
      <c r="A193" s="62" t="s">
        <v>66</v>
      </c>
      <c r="B193" s="450" t="s">
        <v>438</v>
      </c>
      <c r="C193" s="64"/>
      <c r="D193" s="64"/>
      <c r="E193" s="64"/>
      <c r="F193" s="64"/>
      <c r="G193" s="64"/>
      <c r="H193" s="64"/>
      <c r="I193" s="64"/>
      <c r="J193" s="105"/>
      <c r="K193" s="105"/>
      <c r="L193" s="508"/>
    </row>
    <row r="194" spans="1:12" ht="15" customHeight="1" thickBot="1" x14ac:dyDescent="0.35">
      <c r="A194" s="62" t="s">
        <v>66</v>
      </c>
      <c r="B194" s="84" t="s">
        <v>15</v>
      </c>
      <c r="C194" s="99" t="s">
        <v>439</v>
      </c>
      <c r="D194" s="88"/>
      <c r="E194" s="88"/>
      <c r="F194" s="88"/>
      <c r="G194" s="88"/>
      <c r="H194" s="88"/>
      <c r="I194" s="90"/>
      <c r="J194" s="91"/>
      <c r="K194" s="91"/>
      <c r="L194" s="497"/>
    </row>
    <row r="195" spans="1:12" ht="15" customHeight="1" x14ac:dyDescent="0.3">
      <c r="A195" s="1588" t="s">
        <v>66</v>
      </c>
      <c r="B195" s="1590" t="s">
        <v>15</v>
      </c>
      <c r="C195" s="1926" t="s">
        <v>15</v>
      </c>
      <c r="D195" s="2066" t="s">
        <v>440</v>
      </c>
      <c r="E195" s="1996" t="s">
        <v>19</v>
      </c>
      <c r="F195" s="2293" t="s">
        <v>20</v>
      </c>
      <c r="G195" s="3044" t="s">
        <v>434</v>
      </c>
      <c r="H195" s="2537" t="s">
        <v>441</v>
      </c>
      <c r="I195" s="924" t="s">
        <v>23</v>
      </c>
      <c r="J195" s="424">
        <v>110</v>
      </c>
      <c r="K195" s="424">
        <v>110</v>
      </c>
      <c r="L195" s="424">
        <v>110</v>
      </c>
    </row>
    <row r="196" spans="1:12" ht="19.5" customHeight="1" thickBot="1" x14ac:dyDescent="0.35">
      <c r="A196" s="1701"/>
      <c r="B196" s="1662"/>
      <c r="C196" s="2218"/>
      <c r="D196" s="2219"/>
      <c r="E196" s="2220"/>
      <c r="F196" s="2295"/>
      <c r="G196" s="3045"/>
      <c r="H196" s="2539"/>
      <c r="I196" s="700" t="s">
        <v>24</v>
      </c>
      <c r="J196" s="4">
        <f>SUM(J195)</f>
        <v>110</v>
      </c>
      <c r="K196" s="4">
        <f>SUM(K195)</f>
        <v>110</v>
      </c>
      <c r="L196" s="4">
        <f t="shared" ref="L196" si="36">SUM(L195)</f>
        <v>110</v>
      </c>
    </row>
    <row r="197" spans="1:12" ht="25.5" customHeight="1" thickBot="1" x14ac:dyDescent="0.35">
      <c r="A197" s="3030" t="s">
        <v>66</v>
      </c>
      <c r="B197" s="1590" t="s">
        <v>15</v>
      </c>
      <c r="C197" s="1926" t="s">
        <v>25</v>
      </c>
      <c r="D197" s="3046" t="s">
        <v>497</v>
      </c>
      <c r="E197" s="1996" t="s">
        <v>498</v>
      </c>
      <c r="F197" s="2293" t="s">
        <v>20</v>
      </c>
      <c r="G197" s="1998" t="s">
        <v>178</v>
      </c>
      <c r="H197" s="2537" t="s">
        <v>442</v>
      </c>
      <c r="I197" s="1044" t="s">
        <v>23</v>
      </c>
      <c r="J197" s="504">
        <f>53.3-7-24.6</f>
        <v>21.699999999999996</v>
      </c>
      <c r="K197" s="455">
        <v>53</v>
      </c>
      <c r="L197" s="504">
        <v>53</v>
      </c>
    </row>
    <row r="198" spans="1:12" ht="25.5" customHeight="1" x14ac:dyDescent="0.3">
      <c r="A198" s="2510"/>
      <c r="B198" s="1591"/>
      <c r="C198" s="1946"/>
      <c r="D198" s="3047"/>
      <c r="E198" s="1997"/>
      <c r="F198" s="2294"/>
      <c r="G198" s="1999"/>
      <c r="H198" s="2538"/>
      <c r="I198" s="1044" t="s">
        <v>324</v>
      </c>
      <c r="J198" s="504">
        <f>389.3+139.4</f>
        <v>528.70000000000005</v>
      </c>
      <c r="K198" s="455">
        <v>0</v>
      </c>
      <c r="L198" s="504">
        <v>0</v>
      </c>
    </row>
    <row r="199" spans="1:12" ht="25.5" customHeight="1" thickBot="1" x14ac:dyDescent="0.35">
      <c r="A199" s="2510"/>
      <c r="B199" s="1591"/>
      <c r="C199" s="1946"/>
      <c r="D199" s="3047"/>
      <c r="E199" s="1997"/>
      <c r="F199" s="2294"/>
      <c r="G199" s="2263"/>
      <c r="H199" s="2538"/>
      <c r="I199" s="1377" t="s">
        <v>180</v>
      </c>
      <c r="J199" s="849">
        <v>0</v>
      </c>
      <c r="K199" s="502">
        <v>703</v>
      </c>
      <c r="L199" s="849">
        <v>300</v>
      </c>
    </row>
    <row r="200" spans="1:12" ht="24" customHeight="1" thickBot="1" x14ac:dyDescent="0.35">
      <c r="A200" s="2510"/>
      <c r="B200" s="1591"/>
      <c r="C200" s="1946"/>
      <c r="D200" s="3047"/>
      <c r="E200" s="1997"/>
      <c r="F200" s="1378" t="s">
        <v>129</v>
      </c>
      <c r="G200" s="1379" t="s">
        <v>501</v>
      </c>
      <c r="H200" s="2538"/>
      <c r="I200" s="1380" t="s">
        <v>23</v>
      </c>
      <c r="J200" s="520">
        <v>5.0999999999999996</v>
      </c>
      <c r="K200" s="326">
        <v>0</v>
      </c>
      <c r="L200" s="520">
        <v>0</v>
      </c>
    </row>
    <row r="201" spans="1:12" ht="21" customHeight="1" thickBot="1" x14ac:dyDescent="0.35">
      <c r="A201" s="2510"/>
      <c r="B201" s="1591"/>
      <c r="C201" s="1946"/>
      <c r="D201" s="3047"/>
      <c r="E201" s="1997"/>
      <c r="F201" s="1612" t="s">
        <v>132</v>
      </c>
      <c r="G201" s="1999" t="s">
        <v>501</v>
      </c>
      <c r="H201" s="2538"/>
      <c r="I201" s="1045" t="s">
        <v>23</v>
      </c>
      <c r="J201" s="849">
        <v>1.9</v>
      </c>
      <c r="K201" s="502">
        <v>0</v>
      </c>
      <c r="L201" s="849">
        <v>0</v>
      </c>
    </row>
    <row r="202" spans="1:12" ht="12.75" customHeight="1" thickBot="1" x14ac:dyDescent="0.35">
      <c r="A202" s="3031"/>
      <c r="B202" s="1662"/>
      <c r="C202" s="2218"/>
      <c r="D202" s="3048"/>
      <c r="E202" s="2220"/>
      <c r="F202" s="1613"/>
      <c r="G202" s="2263"/>
      <c r="H202" s="2539"/>
      <c r="I202" s="1046" t="s">
        <v>24</v>
      </c>
      <c r="J202" s="1364">
        <f>SUM(J197:J201)</f>
        <v>557.40000000000009</v>
      </c>
      <c r="K202" s="1364">
        <f>SUM(K197:K197)+K201</f>
        <v>53</v>
      </c>
      <c r="L202" s="1364">
        <f>SUM(L197:L197)+L201</f>
        <v>53</v>
      </c>
    </row>
    <row r="203" spans="1:12" ht="20.25" hidden="1" customHeight="1" thickBot="1" x14ac:dyDescent="0.35">
      <c r="A203" s="3030" t="s">
        <v>66</v>
      </c>
      <c r="B203" s="1590" t="s">
        <v>15</v>
      </c>
      <c r="C203" s="1926" t="s">
        <v>27</v>
      </c>
      <c r="D203" s="3046" t="s">
        <v>443</v>
      </c>
      <c r="E203" s="1996" t="s">
        <v>177</v>
      </c>
      <c r="F203" s="2293" t="s">
        <v>20</v>
      </c>
      <c r="G203" s="1998" t="s">
        <v>178</v>
      </c>
      <c r="H203" s="2537" t="s">
        <v>442</v>
      </c>
      <c r="I203" s="503" t="s">
        <v>23</v>
      </c>
      <c r="J203" s="455">
        <v>0</v>
      </c>
      <c r="K203" s="455">
        <v>0</v>
      </c>
      <c r="L203" s="504">
        <v>0</v>
      </c>
    </row>
    <row r="204" spans="1:12" ht="28.5" hidden="1" customHeight="1" thickBot="1" x14ac:dyDescent="0.35">
      <c r="A204" s="3031"/>
      <c r="B204" s="1662"/>
      <c r="C204" s="2218"/>
      <c r="D204" s="3048"/>
      <c r="E204" s="2220"/>
      <c r="F204" s="2295"/>
      <c r="G204" s="2263"/>
      <c r="H204" s="2539"/>
      <c r="I204" s="632" t="s">
        <v>24</v>
      </c>
      <c r="J204" s="509">
        <f>SUM(J203:J203)</f>
        <v>0</v>
      </c>
      <c r="K204" s="509">
        <f>SUM(K203:K203)</f>
        <v>0</v>
      </c>
      <c r="L204" s="509">
        <v>0</v>
      </c>
    </row>
    <row r="205" spans="1:12" ht="16.5" hidden="1" customHeight="1" thickBot="1" x14ac:dyDescent="0.35">
      <c r="A205" s="3030" t="s">
        <v>66</v>
      </c>
      <c r="B205" s="1590" t="s">
        <v>15</v>
      </c>
      <c r="C205" s="1926" t="s">
        <v>31</v>
      </c>
      <c r="D205" s="3046" t="s">
        <v>444</v>
      </c>
      <c r="E205" s="1996" t="s">
        <v>177</v>
      </c>
      <c r="F205" s="2293" t="s">
        <v>20</v>
      </c>
      <c r="G205" s="1998" t="s">
        <v>178</v>
      </c>
      <c r="H205" s="2537" t="s">
        <v>442</v>
      </c>
      <c r="I205" s="503" t="s">
        <v>23</v>
      </c>
      <c r="J205" s="455">
        <v>0</v>
      </c>
      <c r="K205" s="455">
        <v>0</v>
      </c>
      <c r="L205" s="504">
        <v>0</v>
      </c>
    </row>
    <row r="206" spans="1:12" ht="61.5" hidden="1" customHeight="1" thickBot="1" x14ac:dyDescent="0.35">
      <c r="A206" s="3031"/>
      <c r="B206" s="1662"/>
      <c r="C206" s="1946"/>
      <c r="D206" s="3047"/>
      <c r="E206" s="1997"/>
      <c r="F206" s="2295"/>
      <c r="G206" s="2263"/>
      <c r="H206" s="2539"/>
      <c r="I206" s="637" t="s">
        <v>24</v>
      </c>
      <c r="J206" s="932">
        <f>SUM(J205:J205)</f>
        <v>0</v>
      </c>
      <c r="K206" s="933">
        <f>SUM(K205:K205)</f>
        <v>0</v>
      </c>
      <c r="L206" s="933">
        <f>SUM(L205:L205)</f>
        <v>0</v>
      </c>
    </row>
    <row r="207" spans="1:12" ht="43.5" customHeight="1" thickBot="1" x14ac:dyDescent="0.35">
      <c r="A207" s="1588" t="s">
        <v>66</v>
      </c>
      <c r="B207" s="1590" t="s">
        <v>15</v>
      </c>
      <c r="C207" s="1926" t="s">
        <v>33</v>
      </c>
      <c r="D207" s="2066" t="s">
        <v>500</v>
      </c>
      <c r="E207" s="1996" t="s">
        <v>498</v>
      </c>
      <c r="F207" s="2293" t="s">
        <v>20</v>
      </c>
      <c r="G207" s="3044" t="s">
        <v>178</v>
      </c>
      <c r="H207" s="2537" t="s">
        <v>441</v>
      </c>
      <c r="I207" s="924" t="s">
        <v>23</v>
      </c>
      <c r="J207" s="424">
        <v>0</v>
      </c>
      <c r="K207" s="424">
        <v>0</v>
      </c>
      <c r="L207" s="424">
        <v>0</v>
      </c>
    </row>
    <row r="208" spans="1:12" ht="62.25" customHeight="1" thickBot="1" x14ac:dyDescent="0.35">
      <c r="A208" s="1701"/>
      <c r="B208" s="1662"/>
      <c r="C208" s="2218"/>
      <c r="D208" s="2219"/>
      <c r="E208" s="2220"/>
      <c r="F208" s="2295"/>
      <c r="G208" s="3045"/>
      <c r="H208" s="2539"/>
      <c r="I208" s="311" t="s">
        <v>24</v>
      </c>
      <c r="J208" s="4">
        <f>SUM(J207)</f>
        <v>0</v>
      </c>
      <c r="K208" s="4">
        <f>SUM(K207)</f>
        <v>0</v>
      </c>
      <c r="L208" s="4">
        <v>0</v>
      </c>
    </row>
    <row r="209" spans="1:13" ht="19.5" customHeight="1" thickBot="1" x14ac:dyDescent="0.35">
      <c r="A209" s="62" t="s">
        <v>66</v>
      </c>
      <c r="B209" s="84" t="s">
        <v>15</v>
      </c>
      <c r="C209" s="80"/>
      <c r="D209" s="85"/>
      <c r="E209" s="85"/>
      <c r="F209" s="88"/>
      <c r="G209" s="88"/>
      <c r="H209" s="88"/>
      <c r="I209" s="103" t="s">
        <v>80</v>
      </c>
      <c r="J209" s="51">
        <f>J196+J202+J204+J206</f>
        <v>667.40000000000009</v>
      </c>
      <c r="K209" s="51">
        <f>K196+K202+K208</f>
        <v>163</v>
      </c>
      <c r="L209" s="51">
        <f>L196+L202+L208</f>
        <v>163</v>
      </c>
    </row>
    <row r="210" spans="1:13" ht="18" customHeight="1" thickBot="1" x14ac:dyDescent="0.35">
      <c r="A210" s="87" t="s">
        <v>66</v>
      </c>
      <c r="B210" s="506"/>
      <c r="C210" s="506"/>
      <c r="D210" s="506"/>
      <c r="E210" s="506"/>
      <c r="F210" s="506"/>
      <c r="G210" s="506"/>
      <c r="H210" s="506"/>
      <c r="I210" s="507" t="s">
        <v>83</v>
      </c>
      <c r="J210" s="98">
        <f>J209</f>
        <v>667.40000000000009</v>
      </c>
      <c r="K210" s="98">
        <f t="shared" ref="K210:L210" si="37">K209</f>
        <v>163</v>
      </c>
      <c r="L210" s="98">
        <f t="shared" si="37"/>
        <v>163</v>
      </c>
    </row>
    <row r="211" spans="1:13" ht="25.5" customHeight="1" thickBot="1" x14ac:dyDescent="0.35">
      <c r="A211" s="181" t="s">
        <v>72</v>
      </c>
      <c r="B211" s="450" t="s">
        <v>445</v>
      </c>
      <c r="C211" s="64"/>
      <c r="D211" s="64"/>
      <c r="E211" s="64"/>
      <c r="F211" s="64"/>
      <c r="G211" s="64"/>
      <c r="H211" s="64"/>
      <c r="I211" s="64"/>
      <c r="J211" s="105"/>
      <c r="K211" s="105"/>
      <c r="L211" s="508"/>
    </row>
    <row r="212" spans="1:13" ht="14.25" customHeight="1" thickBot="1" x14ac:dyDescent="0.35">
      <c r="A212" s="314" t="s">
        <v>72</v>
      </c>
      <c r="B212" s="92" t="s">
        <v>15</v>
      </c>
      <c r="C212" s="510" t="s">
        <v>446</v>
      </c>
      <c r="D212" s="511"/>
      <c r="E212" s="511"/>
      <c r="F212" s="511"/>
      <c r="G212" s="511"/>
      <c r="H212" s="511"/>
      <c r="I212" s="511"/>
      <c r="J212" s="511"/>
      <c r="K212" s="511"/>
      <c r="L212" s="512"/>
    </row>
    <row r="213" spans="1:13" ht="27" customHeight="1" thickBot="1" x14ac:dyDescent="0.35">
      <c r="A213" s="2953" t="s">
        <v>72</v>
      </c>
      <c r="B213" s="2235" t="s">
        <v>15</v>
      </c>
      <c r="C213" s="2622" t="s">
        <v>15</v>
      </c>
      <c r="D213" s="3032" t="s">
        <v>447</v>
      </c>
      <c r="E213" s="3034" t="s">
        <v>19</v>
      </c>
      <c r="F213" s="3051" t="s">
        <v>20</v>
      </c>
      <c r="G213" s="1998" t="s">
        <v>178</v>
      </c>
      <c r="H213" s="2956" t="s">
        <v>448</v>
      </c>
      <c r="I213" s="925" t="s">
        <v>23</v>
      </c>
      <c r="J213" s="396">
        <v>20</v>
      </c>
      <c r="K213" s="396">
        <v>20</v>
      </c>
      <c r="L213" s="397">
        <v>20</v>
      </c>
      <c r="M213" s="529"/>
    </row>
    <row r="214" spans="1:13" ht="50.25" customHeight="1" thickBot="1" x14ac:dyDescent="0.35">
      <c r="A214" s="2510"/>
      <c r="B214" s="2278"/>
      <c r="C214" s="2954"/>
      <c r="D214" s="3033"/>
      <c r="E214" s="3035"/>
      <c r="F214" s="3052"/>
      <c r="G214" s="2263"/>
      <c r="H214" s="2957"/>
      <c r="I214" s="488" t="s">
        <v>24</v>
      </c>
      <c r="J214" s="489">
        <f>SUM(J213)</f>
        <v>20</v>
      </c>
      <c r="K214" s="489">
        <f t="shared" ref="K214:L214" si="38">SUM(K213)</f>
        <v>20</v>
      </c>
      <c r="L214" s="425">
        <f t="shared" si="38"/>
        <v>20</v>
      </c>
    </row>
    <row r="215" spans="1:13" ht="16.5" customHeight="1" thickBot="1" x14ac:dyDescent="0.35">
      <c r="A215" s="2953" t="s">
        <v>72</v>
      </c>
      <c r="B215" s="2235" t="s">
        <v>15</v>
      </c>
      <c r="C215" s="2622" t="s">
        <v>25</v>
      </c>
      <c r="D215" s="2947" t="s">
        <v>449</v>
      </c>
      <c r="E215" s="2956" t="s">
        <v>19</v>
      </c>
      <c r="F215" s="3051" t="s">
        <v>20</v>
      </c>
      <c r="G215" s="1998" t="s">
        <v>178</v>
      </c>
      <c r="H215" s="3055" t="s">
        <v>427</v>
      </c>
      <c r="I215" s="730" t="s">
        <v>23</v>
      </c>
      <c r="J215" s="396">
        <f>15-10.2</f>
        <v>4.8000000000000007</v>
      </c>
      <c r="K215" s="396">
        <v>15</v>
      </c>
      <c r="L215" s="397">
        <v>15</v>
      </c>
    </row>
    <row r="216" spans="1:13" ht="13.5" customHeight="1" thickBot="1" x14ac:dyDescent="0.35">
      <c r="A216" s="2510"/>
      <c r="B216" s="2278"/>
      <c r="C216" s="2954"/>
      <c r="D216" s="2955"/>
      <c r="E216" s="2957"/>
      <c r="F216" s="3052"/>
      <c r="G216" s="2263"/>
      <c r="H216" s="3056"/>
      <c r="I216" s="731" t="s">
        <v>24</v>
      </c>
      <c r="J216" s="36">
        <f>SUM(J215)</f>
        <v>4.8000000000000007</v>
      </c>
      <c r="K216" s="36">
        <f t="shared" ref="K216:L216" si="39">SUM(K215)</f>
        <v>15</v>
      </c>
      <c r="L216" s="425">
        <f t="shared" si="39"/>
        <v>15</v>
      </c>
    </row>
    <row r="217" spans="1:13" ht="17.25" customHeight="1" thickBot="1" x14ac:dyDescent="0.35">
      <c r="A217" s="2928" t="s">
        <v>72</v>
      </c>
      <c r="B217" s="318" t="s">
        <v>15</v>
      </c>
      <c r="C217" s="2622" t="s">
        <v>27</v>
      </c>
      <c r="D217" s="2947" t="s">
        <v>450</v>
      </c>
      <c r="E217" s="2956" t="s">
        <v>19</v>
      </c>
      <c r="F217" s="3051" t="s">
        <v>20</v>
      </c>
      <c r="G217" s="3053" t="s">
        <v>451</v>
      </c>
      <c r="H217" s="3058" t="s">
        <v>22</v>
      </c>
      <c r="I217" s="730" t="s">
        <v>23</v>
      </c>
      <c r="J217" s="1322">
        <v>10</v>
      </c>
      <c r="K217" s="393">
        <v>10</v>
      </c>
      <c r="L217" s="397">
        <v>10</v>
      </c>
    </row>
    <row r="218" spans="1:13" ht="34.5" customHeight="1" thickBot="1" x14ac:dyDescent="0.35">
      <c r="A218" s="2620"/>
      <c r="B218" s="95"/>
      <c r="C218" s="2954"/>
      <c r="D218" s="2955"/>
      <c r="E218" s="2957"/>
      <c r="F218" s="3052"/>
      <c r="G218" s="3054"/>
      <c r="H218" s="3059"/>
      <c r="I218" s="732" t="s">
        <v>24</v>
      </c>
      <c r="J218" s="489">
        <f>SUM(J217)</f>
        <v>10</v>
      </c>
      <c r="K218" s="489">
        <f t="shared" ref="K218:L218" si="40">SUM(K217)</f>
        <v>10</v>
      </c>
      <c r="L218" s="425">
        <f t="shared" si="40"/>
        <v>10</v>
      </c>
    </row>
    <row r="219" spans="1:13" ht="30" customHeight="1" thickBot="1" x14ac:dyDescent="0.35">
      <c r="A219" s="2443" t="s">
        <v>72</v>
      </c>
      <c r="B219" s="217" t="s">
        <v>15</v>
      </c>
      <c r="C219" s="2622" t="s">
        <v>31</v>
      </c>
      <c r="D219" s="2947" t="s">
        <v>452</v>
      </c>
      <c r="E219" s="2956" t="s">
        <v>19</v>
      </c>
      <c r="F219" s="2412" t="s">
        <v>20</v>
      </c>
      <c r="G219" s="1998" t="s">
        <v>178</v>
      </c>
      <c r="H219" s="3055" t="s">
        <v>427</v>
      </c>
      <c r="I219" s="730" t="s">
        <v>23</v>
      </c>
      <c r="J219" s="396">
        <v>20</v>
      </c>
      <c r="K219" s="396">
        <v>20</v>
      </c>
      <c r="L219" s="397">
        <v>20</v>
      </c>
    </row>
    <row r="220" spans="1:13" ht="45" customHeight="1" thickBot="1" x14ac:dyDescent="0.35">
      <c r="A220" s="2444"/>
      <c r="B220" s="278"/>
      <c r="C220" s="2954"/>
      <c r="D220" s="2955"/>
      <c r="E220" s="2957"/>
      <c r="F220" s="2413"/>
      <c r="G220" s="2263"/>
      <c r="H220" s="3057"/>
      <c r="I220" s="731" t="s">
        <v>24</v>
      </c>
      <c r="J220" s="36">
        <f>SUM(J219)</f>
        <v>20</v>
      </c>
      <c r="K220" s="36">
        <f t="shared" ref="K220:L220" si="41">SUM(K219)</f>
        <v>20</v>
      </c>
      <c r="L220" s="425">
        <f t="shared" si="41"/>
        <v>20</v>
      </c>
    </row>
    <row r="221" spans="1:13" ht="22.5" customHeight="1" thickBot="1" x14ac:dyDescent="0.35">
      <c r="A221" s="2443" t="s">
        <v>72</v>
      </c>
      <c r="B221" s="217" t="s">
        <v>15</v>
      </c>
      <c r="C221" s="2622" t="s">
        <v>33</v>
      </c>
      <c r="D221" s="2947" t="s">
        <v>453</v>
      </c>
      <c r="E221" s="2949" t="s">
        <v>19</v>
      </c>
      <c r="F221" s="2412" t="s">
        <v>20</v>
      </c>
      <c r="G221" s="1998" t="s">
        <v>178</v>
      </c>
      <c r="H221" s="3049" t="s">
        <v>454</v>
      </c>
      <c r="I221" s="1316" t="s">
        <v>87</v>
      </c>
      <c r="J221" s="396">
        <v>18.8</v>
      </c>
      <c r="K221" s="396">
        <v>18.8</v>
      </c>
      <c r="L221" s="397">
        <v>18.8</v>
      </c>
    </row>
    <row r="222" spans="1:13" ht="30" customHeight="1" x14ac:dyDescent="0.3">
      <c r="A222" s="2444"/>
      <c r="B222" s="219"/>
      <c r="C222" s="2623"/>
      <c r="D222" s="2948"/>
      <c r="E222" s="2950"/>
      <c r="F222" s="2413"/>
      <c r="G222" s="2263"/>
      <c r="H222" s="3050"/>
      <c r="I222" s="731" t="s">
        <v>24</v>
      </c>
      <c r="J222" s="36">
        <f>SUM(J221)</f>
        <v>18.8</v>
      </c>
      <c r="K222" s="36">
        <f t="shared" ref="K222:L222" si="42">SUM(K221)</f>
        <v>18.8</v>
      </c>
      <c r="L222" s="283">
        <f t="shared" si="42"/>
        <v>18.8</v>
      </c>
    </row>
    <row r="223" spans="1:13" ht="27.75" customHeight="1" x14ac:dyDescent="0.3">
      <c r="A223" s="2443" t="s">
        <v>72</v>
      </c>
      <c r="B223" s="217" t="s">
        <v>15</v>
      </c>
      <c r="C223" s="2622" t="s">
        <v>66</v>
      </c>
      <c r="D223" s="2947" t="s">
        <v>455</v>
      </c>
      <c r="E223" s="2949" t="s">
        <v>19</v>
      </c>
      <c r="F223" s="2412" t="s">
        <v>20</v>
      </c>
      <c r="G223" s="1998" t="s">
        <v>178</v>
      </c>
      <c r="H223" s="3049" t="s">
        <v>454</v>
      </c>
      <c r="I223" s="1316" t="s">
        <v>23</v>
      </c>
      <c r="J223" s="396">
        <v>0</v>
      </c>
      <c r="K223" s="396">
        <v>0</v>
      </c>
      <c r="L223" s="397">
        <v>0</v>
      </c>
    </row>
    <row r="224" spans="1:13" ht="25.5" customHeight="1" x14ac:dyDescent="0.3">
      <c r="A224" s="2444"/>
      <c r="B224" s="219"/>
      <c r="C224" s="2623"/>
      <c r="D224" s="2948"/>
      <c r="E224" s="2950"/>
      <c r="F224" s="2413"/>
      <c r="G224" s="2263"/>
      <c r="H224" s="3050"/>
      <c r="I224" s="731" t="s">
        <v>24</v>
      </c>
      <c r="J224" s="36">
        <f>SUM(J223)</f>
        <v>0</v>
      </c>
      <c r="K224" s="36">
        <f>SUM(K223)</f>
        <v>0</v>
      </c>
      <c r="L224" s="283">
        <f>SUM(L223)</f>
        <v>0</v>
      </c>
    </row>
    <row r="225" spans="1:14" x14ac:dyDescent="0.3">
      <c r="A225" s="62" t="s">
        <v>72</v>
      </c>
      <c r="B225" s="84" t="s">
        <v>15</v>
      </c>
      <c r="C225" s="226"/>
      <c r="D225" s="88"/>
      <c r="E225" s="88"/>
      <c r="F225" s="88"/>
      <c r="G225" s="88"/>
      <c r="H225" s="88"/>
      <c r="I225" s="505" t="s">
        <v>80</v>
      </c>
      <c r="J225" s="286">
        <f>J214+J216+J218+J220+J222+J224</f>
        <v>73.599999999999994</v>
      </c>
      <c r="K225" s="286">
        <f t="shared" ref="K225:L225" si="43">K214+K216+K218+K220+K222</f>
        <v>83.8</v>
      </c>
      <c r="L225" s="286">
        <f t="shared" si="43"/>
        <v>83.8</v>
      </c>
    </row>
    <row r="226" spans="1:14" x14ac:dyDescent="0.3">
      <c r="A226" s="87" t="s">
        <v>72</v>
      </c>
      <c r="B226" s="506"/>
      <c r="C226" s="506"/>
      <c r="D226" s="506"/>
      <c r="E226" s="506"/>
      <c r="F226" s="506"/>
      <c r="G226" s="506"/>
      <c r="H226" s="506"/>
      <c r="I226" s="507" t="s">
        <v>83</v>
      </c>
      <c r="J226" s="178">
        <f>J225</f>
        <v>73.599999999999994</v>
      </c>
      <c r="K226" s="178">
        <f t="shared" ref="K226:L226" si="44">K225</f>
        <v>83.8</v>
      </c>
      <c r="L226" s="178">
        <f t="shared" si="44"/>
        <v>83.8</v>
      </c>
    </row>
    <row r="227" spans="1:14" x14ac:dyDescent="0.3">
      <c r="A227" s="323" t="s">
        <v>33</v>
      </c>
      <c r="B227" s="3060" t="s">
        <v>141</v>
      </c>
      <c r="C227" s="3061"/>
      <c r="D227" s="3061"/>
      <c r="E227" s="3061"/>
      <c r="F227" s="3061"/>
      <c r="G227" s="3061"/>
      <c r="H227" s="3061"/>
      <c r="I227" s="3061"/>
      <c r="J227" s="513">
        <f>J102+J144+J171+J181+J192+J210+J226</f>
        <v>14322.31</v>
      </c>
      <c r="K227" s="513">
        <f>K102+K144+K171+K181+K192+K210+K226</f>
        <v>8315.1999999999989</v>
      </c>
      <c r="L227" s="514">
        <f>L102+L144+L171+L181+L192+L210+L226</f>
        <v>8315.1999999999989</v>
      </c>
    </row>
    <row r="228" spans="1:14" s="530" customFormat="1" ht="10.199999999999999" x14ac:dyDescent="0.2">
      <c r="A228" s="116" t="s">
        <v>142</v>
      </c>
      <c r="B228" s="515"/>
      <c r="C228" s="515"/>
      <c r="D228" s="515"/>
      <c r="E228" s="515"/>
      <c r="F228" s="515"/>
      <c r="G228" s="515"/>
      <c r="H228" s="515"/>
      <c r="I228" s="515"/>
      <c r="J228" s="516"/>
      <c r="K228" s="516"/>
      <c r="L228" s="516"/>
    </row>
    <row r="229" spans="1:14" x14ac:dyDescent="0.3">
      <c r="A229" s="166"/>
      <c r="B229" s="123"/>
      <c r="C229" s="123"/>
      <c r="D229" s="1661" t="s">
        <v>143</v>
      </c>
      <c r="E229" s="1661"/>
      <c r="F229" s="1661"/>
      <c r="G229" s="123"/>
      <c r="H229" s="123"/>
      <c r="I229" s="123"/>
    </row>
    <row r="230" spans="1:14" ht="15" customHeight="1" thickBot="1" x14ac:dyDescent="0.35">
      <c r="A230" s="120"/>
      <c r="B230" s="120"/>
      <c r="C230" s="193"/>
      <c r="D230" s="122"/>
      <c r="E230" s="123"/>
      <c r="F230" s="123"/>
      <c r="G230" s="123"/>
      <c r="H230" s="123"/>
      <c r="I230" s="123"/>
    </row>
    <row r="231" spans="1:14" ht="26.25" customHeight="1" thickBot="1" x14ac:dyDescent="0.35">
      <c r="D231" s="1649" t="s">
        <v>144</v>
      </c>
      <c r="E231" s="1650"/>
      <c r="F231" s="1650"/>
      <c r="G231" s="1650"/>
      <c r="H231" s="1650"/>
      <c r="I231" s="1650"/>
      <c r="J231" s="1074" t="s">
        <v>10</v>
      </c>
      <c r="K231" s="1075" t="s">
        <v>11</v>
      </c>
      <c r="L231" s="517" t="s">
        <v>12</v>
      </c>
    </row>
    <row r="232" spans="1:14" ht="17.25" customHeight="1" thickBot="1" x14ac:dyDescent="0.35">
      <c r="D232" s="1659" t="s">
        <v>145</v>
      </c>
      <c r="E232" s="1660"/>
      <c r="F232" s="1660"/>
      <c r="G232" s="1660"/>
      <c r="H232" s="1660"/>
      <c r="I232" s="1660"/>
      <c r="J232" s="127"/>
      <c r="K232" s="127"/>
      <c r="L232" s="127"/>
    </row>
    <row r="233" spans="1:14" ht="15" customHeight="1" thickBot="1" x14ac:dyDescent="0.35">
      <c r="D233" s="1632" t="s">
        <v>146</v>
      </c>
      <c r="E233" s="1633"/>
      <c r="F233" s="1633"/>
      <c r="G233" s="1633"/>
      <c r="H233" s="1633"/>
      <c r="I233" s="1633"/>
      <c r="J233" s="129">
        <f>J234+J240+J241</f>
        <v>14303.210000000005</v>
      </c>
      <c r="K233" s="129">
        <f t="shared" ref="K233:L233" si="45">K234+K240+K241</f>
        <v>9018.2000000000007</v>
      </c>
      <c r="L233" s="129">
        <f t="shared" si="45"/>
        <v>8615.2000000000007</v>
      </c>
    </row>
    <row r="234" spans="1:14" ht="15" customHeight="1" x14ac:dyDescent="0.3">
      <c r="D234" s="1645" t="s">
        <v>147</v>
      </c>
      <c r="E234" s="1646"/>
      <c r="F234" s="1646"/>
      <c r="G234" s="1646"/>
      <c r="H234" s="1646"/>
      <c r="I234" s="1646"/>
      <c r="J234" s="130">
        <f>SUM(J235:J239)</f>
        <v>11617.410000000003</v>
      </c>
      <c r="K234" s="130">
        <f t="shared" ref="K234:L234" si="46">SUM(K235:K239)</f>
        <v>9018.2000000000007</v>
      </c>
      <c r="L234" s="130">
        <f t="shared" si="46"/>
        <v>8615.2000000000007</v>
      </c>
    </row>
    <row r="235" spans="1:14" ht="15" customHeight="1" x14ac:dyDescent="0.3">
      <c r="A235" s="197"/>
      <c r="B235" s="197"/>
      <c r="C235" s="197"/>
      <c r="D235" s="1651" t="s">
        <v>148</v>
      </c>
      <c r="E235" s="1652"/>
      <c r="F235" s="1652"/>
      <c r="G235" s="1652"/>
      <c r="H235" s="1652"/>
      <c r="I235" s="1653"/>
      <c r="J235" s="131">
        <f>SUMIF($I13:$I227,"SBN",J13:J227)</f>
        <v>7024.8100000000022</v>
      </c>
      <c r="K235" s="131">
        <f>SUMIF($I13:$I227,"SBN",K13:K227)</f>
        <v>6016.7000000000007</v>
      </c>
      <c r="L235" s="131">
        <f>SUMIF($I13:$I227,"SBN",L13:L227)</f>
        <v>6016.7000000000007</v>
      </c>
      <c r="N235" s="526"/>
    </row>
    <row r="236" spans="1:14" ht="15" customHeight="1" x14ac:dyDescent="0.3">
      <c r="A236" s="197"/>
      <c r="B236" s="197"/>
      <c r="C236" s="197"/>
      <c r="D236" s="1635" t="s">
        <v>149</v>
      </c>
      <c r="E236" s="1636"/>
      <c r="F236" s="1636"/>
      <c r="G236" s="1636"/>
      <c r="H236" s="1636"/>
      <c r="I236" s="1637"/>
      <c r="J236" s="131">
        <f>SUMIF($I13:$I227,"VBD",J13:J227)</f>
        <v>4305.6000000000004</v>
      </c>
      <c r="K236" s="131">
        <f>SUMIF($I13:$I227,"VBD",K13:K227)</f>
        <v>2088.5</v>
      </c>
      <c r="L236" s="131">
        <f>SUMIF($I13:$I227,"VBD",L13:L227)</f>
        <v>2088.5</v>
      </c>
    </row>
    <row r="237" spans="1:14" ht="15.75" customHeight="1" x14ac:dyDescent="0.3">
      <c r="A237" s="197"/>
      <c r="B237" s="197"/>
      <c r="C237" s="197"/>
      <c r="D237" s="1635" t="s">
        <v>150</v>
      </c>
      <c r="E237" s="1636"/>
      <c r="F237" s="1636"/>
      <c r="G237" s="1636"/>
      <c r="H237" s="1636"/>
      <c r="I237" s="1637"/>
      <c r="J237" s="131">
        <f>SUMIF($I13:$I227,"PĮ",J13:J227)</f>
        <v>14</v>
      </c>
      <c r="K237" s="131">
        <f>SUMIF($I13:$I227,"PĮ",K13:K227)</f>
        <v>0</v>
      </c>
      <c r="L237" s="131">
        <f>SUMIF($I13:$I227,"PĮ",L13:L227)</f>
        <v>0</v>
      </c>
    </row>
    <row r="238" spans="1:14" ht="15.75" customHeight="1" x14ac:dyDescent="0.3">
      <c r="A238" s="197"/>
      <c r="B238" s="197"/>
      <c r="C238" s="197"/>
      <c r="D238" s="1635" t="s">
        <v>151</v>
      </c>
      <c r="E238" s="1636"/>
      <c r="F238" s="1636"/>
      <c r="G238" s="1636"/>
      <c r="H238" s="1636"/>
      <c r="I238" s="1637"/>
      <c r="J238" s="131">
        <f>SUMIF($I13:$I227,"TPP",J13:J227)</f>
        <v>273</v>
      </c>
      <c r="K238" s="131">
        <f>SUMIF($I13:$I227,"TPP",K13:K227)</f>
        <v>210</v>
      </c>
      <c r="L238" s="131">
        <f>SUMIF($I13:$I227,"TPP",L13:L227)</f>
        <v>210</v>
      </c>
    </row>
    <row r="239" spans="1:14" ht="15.75" customHeight="1" x14ac:dyDescent="0.3">
      <c r="A239" s="197"/>
      <c r="B239" s="197"/>
      <c r="C239" s="197"/>
      <c r="D239" s="1635" t="s">
        <v>152</v>
      </c>
      <c r="E239" s="1636"/>
      <c r="F239" s="1636"/>
      <c r="G239" s="1636"/>
      <c r="H239" s="1636"/>
      <c r="I239" s="1637"/>
      <c r="J239" s="131">
        <f>SUMIF($I13:$I227,"ES",J13:J227)</f>
        <v>0</v>
      </c>
      <c r="K239" s="131">
        <f>SUMIF($I13:$I227,"ES",K13:K227)</f>
        <v>703</v>
      </c>
      <c r="L239" s="131">
        <f>SUMIF($I13:$I227,"ES",L13:L227)</f>
        <v>300</v>
      </c>
    </row>
    <row r="240" spans="1:14" ht="15" customHeight="1" x14ac:dyDescent="0.3">
      <c r="A240" s="197"/>
      <c r="B240" s="197"/>
      <c r="C240" s="197"/>
      <c r="D240" s="1635" t="s">
        <v>153</v>
      </c>
      <c r="E240" s="1636"/>
      <c r="F240" s="1636"/>
      <c r="G240" s="1636"/>
      <c r="H240" s="1636"/>
      <c r="I240" s="1637"/>
      <c r="J240" s="131">
        <f>SUMIF($I13:$I227,"SL",J13:J227)</f>
        <v>1494.7</v>
      </c>
      <c r="K240" s="131">
        <f>SUMIF($I13:$I227,"SL",K13:K227)</f>
        <v>0</v>
      </c>
      <c r="L240" s="131">
        <f>SUMIF($I13:$I227,"SL",L13:L227)</f>
        <v>0</v>
      </c>
    </row>
    <row r="241" spans="1:12" ht="15.75" customHeight="1" thickBot="1" x14ac:dyDescent="0.35">
      <c r="A241" s="197"/>
      <c r="B241" s="197"/>
      <c r="C241" s="197"/>
      <c r="D241" s="1635" t="s">
        <v>154</v>
      </c>
      <c r="E241" s="1636"/>
      <c r="F241" s="1636"/>
      <c r="G241" s="1636"/>
      <c r="H241" s="1636"/>
      <c r="I241" s="1637"/>
      <c r="J241" s="132">
        <f>SUMIF($I13:$I227,"AML",J13:J227)</f>
        <v>1191.1000000000004</v>
      </c>
      <c r="K241" s="132">
        <f>SUMIF($I13:$I227,"AML",K13:K227)</f>
        <v>0</v>
      </c>
      <c r="L241" s="132">
        <f>SUMIF($I13:$I227,"AML",L13:L227)</f>
        <v>0</v>
      </c>
    </row>
    <row r="242" spans="1:12" ht="24" customHeight="1" thickBot="1" x14ac:dyDescent="0.35">
      <c r="A242" s="197"/>
      <c r="B242" s="197"/>
      <c r="C242" s="197"/>
      <c r="D242" s="1632" t="s">
        <v>155</v>
      </c>
      <c r="E242" s="1633"/>
      <c r="F242" s="1633"/>
      <c r="G242" s="1633"/>
      <c r="H242" s="1633"/>
      <c r="I242" s="1634"/>
      <c r="J242" s="518">
        <f>J243</f>
        <v>19.100000000000001</v>
      </c>
      <c r="K242" s="518">
        <f t="shared" ref="K242:L242" si="47">K243</f>
        <v>0</v>
      </c>
      <c r="L242" s="518">
        <f t="shared" si="47"/>
        <v>0</v>
      </c>
    </row>
    <row r="243" spans="1:12" ht="26.25" customHeight="1" thickBot="1" x14ac:dyDescent="0.35">
      <c r="A243" s="197"/>
      <c r="B243" s="197"/>
      <c r="C243" s="197"/>
      <c r="D243" s="1629" t="s">
        <v>156</v>
      </c>
      <c r="E243" s="1630"/>
      <c r="F243" s="1630"/>
      <c r="G243" s="1630"/>
      <c r="H243" s="1630"/>
      <c r="I243" s="1631"/>
      <c r="J243" s="326">
        <v>19.100000000000001</v>
      </c>
      <c r="K243" s="326">
        <v>0</v>
      </c>
      <c r="L243" s="520">
        <v>0</v>
      </c>
    </row>
    <row r="244" spans="1:12" ht="15" customHeight="1" thickBot="1" x14ac:dyDescent="0.35">
      <c r="A244" s="197"/>
      <c r="B244" s="197"/>
      <c r="C244" s="197"/>
      <c r="D244" s="1632" t="s">
        <v>157</v>
      </c>
      <c r="E244" s="1633"/>
      <c r="F244" s="1633"/>
      <c r="G244" s="1633"/>
      <c r="H244" s="1633"/>
      <c r="I244" s="1634"/>
      <c r="J244" s="518">
        <f>J233+J242</f>
        <v>14322.310000000005</v>
      </c>
      <c r="K244" s="518">
        <f t="shared" ref="K244:L244" si="48">K233+K242</f>
        <v>9018.2000000000007</v>
      </c>
      <c r="L244" s="518">
        <f t="shared" si="48"/>
        <v>8615.2000000000007</v>
      </c>
    </row>
    <row r="245" spans="1:12" ht="15" customHeight="1" thickBot="1" x14ac:dyDescent="0.35">
      <c r="D245" s="1635" t="s">
        <v>158</v>
      </c>
      <c r="E245" s="1636"/>
      <c r="F245" s="1636"/>
      <c r="G245" s="1636"/>
      <c r="H245" s="1636"/>
      <c r="I245" s="1637"/>
      <c r="J245" s="94">
        <v>0</v>
      </c>
      <c r="K245" s="94">
        <v>0</v>
      </c>
      <c r="L245" s="521">
        <v>0</v>
      </c>
    </row>
    <row r="246" spans="1:12" x14ac:dyDescent="0.3">
      <c r="D246" s="1626" t="s">
        <v>159</v>
      </c>
      <c r="E246" s="1627"/>
      <c r="F246" s="1627"/>
      <c r="G246" s="1627"/>
      <c r="H246" s="1627"/>
      <c r="I246" s="1628"/>
      <c r="J246" s="522">
        <f>J244</f>
        <v>14322.310000000005</v>
      </c>
      <c r="K246" s="522">
        <f t="shared" ref="K246:L246" si="49">K244</f>
        <v>9018.2000000000007</v>
      </c>
      <c r="L246" s="522">
        <f t="shared" si="49"/>
        <v>8615.2000000000007</v>
      </c>
    </row>
    <row r="247" spans="1:12" x14ac:dyDescent="0.3">
      <c r="E247" s="142"/>
    </row>
    <row r="248" spans="1:12" x14ac:dyDescent="0.3">
      <c r="E248" s="142"/>
    </row>
    <row r="249" spans="1:12" x14ac:dyDescent="0.3">
      <c r="E249" s="142"/>
    </row>
    <row r="250" spans="1:12" x14ac:dyDescent="0.3">
      <c r="E250" s="142"/>
    </row>
    <row r="251" spans="1:12" x14ac:dyDescent="0.3">
      <c r="E251" s="142"/>
    </row>
  </sheetData>
  <mergeCells count="430">
    <mergeCell ref="I1:L1"/>
    <mergeCell ref="I2:L2"/>
    <mergeCell ref="I6:L6"/>
    <mergeCell ref="A176:A177"/>
    <mergeCell ref="B176:B177"/>
    <mergeCell ref="G176:G177"/>
    <mergeCell ref="E176:E177"/>
    <mergeCell ref="F176:F177"/>
    <mergeCell ref="A151:A152"/>
    <mergeCell ref="A166:A169"/>
    <mergeCell ref="G162:G163"/>
    <mergeCell ref="F157:F159"/>
    <mergeCell ref="B151:B152"/>
    <mergeCell ref="B157:B159"/>
    <mergeCell ref="C157:C159"/>
    <mergeCell ref="D157:D159"/>
    <mergeCell ref="A157:A159"/>
    <mergeCell ref="E153:E154"/>
    <mergeCell ref="F153:F154"/>
    <mergeCell ref="G153:G154"/>
    <mergeCell ref="F151:F152"/>
    <mergeCell ref="G158:G159"/>
    <mergeCell ref="E157:E159"/>
    <mergeCell ref="A111:A127"/>
    <mergeCell ref="G16:G19"/>
    <mergeCell ref="A178:A179"/>
    <mergeCell ref="B178:B179"/>
    <mergeCell ref="C178:C179"/>
    <mergeCell ref="F178:F179"/>
    <mergeCell ref="A162:A163"/>
    <mergeCell ref="E160:E161"/>
    <mergeCell ref="A160:A161"/>
    <mergeCell ref="B160:B161"/>
    <mergeCell ref="B162:B163"/>
    <mergeCell ref="C176:C177"/>
    <mergeCell ref="C162:C163"/>
    <mergeCell ref="D162:D163"/>
    <mergeCell ref="B171:I171"/>
    <mergeCell ref="B166:B169"/>
    <mergeCell ref="A128:A137"/>
    <mergeCell ref="F136:F137"/>
    <mergeCell ref="G63:G64"/>
    <mergeCell ref="F60:F62"/>
    <mergeCell ref="G40:G62"/>
    <mergeCell ref="H39:H62"/>
    <mergeCell ref="E87:E89"/>
    <mergeCell ref="G67:G68"/>
    <mergeCell ref="H69:H72"/>
    <mergeCell ref="D246:I246"/>
    <mergeCell ref="F16:F19"/>
    <mergeCell ref="F27:F28"/>
    <mergeCell ref="F40:F41"/>
    <mergeCell ref="F42:F43"/>
    <mergeCell ref="F44:F45"/>
    <mergeCell ref="F46:F47"/>
    <mergeCell ref="F48:F49"/>
    <mergeCell ref="F50:F51"/>
    <mergeCell ref="F52:F53"/>
    <mergeCell ref="F54:F55"/>
    <mergeCell ref="F56:F57"/>
    <mergeCell ref="F58:F59"/>
    <mergeCell ref="F31:F32"/>
    <mergeCell ref="D238:I238"/>
    <mergeCell ref="D235:I235"/>
    <mergeCell ref="H67:H68"/>
    <mergeCell ref="H80:H81"/>
    <mergeCell ref="E16:E32"/>
    <mergeCell ref="D234:I234"/>
    <mergeCell ref="E80:E81"/>
    <mergeCell ref="D233:I233"/>
    <mergeCell ref="H162:H163"/>
    <mergeCell ref="F162:F163"/>
    <mergeCell ref="A10:A12"/>
    <mergeCell ref="A16:A32"/>
    <mergeCell ref="A35:A36"/>
    <mergeCell ref="D35:D36"/>
    <mergeCell ref="E33:E34"/>
    <mergeCell ref="E63:E64"/>
    <mergeCell ref="E78:E79"/>
    <mergeCell ref="A80:A81"/>
    <mergeCell ref="A33:A34"/>
    <mergeCell ref="A69:A72"/>
    <mergeCell ref="B69:B72"/>
    <mergeCell ref="A78:A79"/>
    <mergeCell ref="B78:B79"/>
    <mergeCell ref="D16:D32"/>
    <mergeCell ref="E67:E68"/>
    <mergeCell ref="B33:B34"/>
    <mergeCell ref="E39:E62"/>
    <mergeCell ref="C33:C34"/>
    <mergeCell ref="D33:D34"/>
    <mergeCell ref="I10:I12"/>
    <mergeCell ref="C63:C64"/>
    <mergeCell ref="D63:D64"/>
    <mergeCell ref="E35:E36"/>
    <mergeCell ref="F35:F36"/>
    <mergeCell ref="G35:G36"/>
    <mergeCell ref="B8:L8"/>
    <mergeCell ref="B10:B12"/>
    <mergeCell ref="C10:C12"/>
    <mergeCell ref="D10:D12"/>
    <mergeCell ref="E10:E12"/>
    <mergeCell ref="F10:F12"/>
    <mergeCell ref="G10:G12"/>
    <mergeCell ref="L11:L12"/>
    <mergeCell ref="J11:J12"/>
    <mergeCell ref="K11:K12"/>
    <mergeCell ref="H10:H12"/>
    <mergeCell ref="H33:H34"/>
    <mergeCell ref="C37:I37"/>
    <mergeCell ref="F63:F64"/>
    <mergeCell ref="G20:G32"/>
    <mergeCell ref="H16:H32"/>
    <mergeCell ref="F33:F34"/>
    <mergeCell ref="G33:G34"/>
    <mergeCell ref="H35:H36"/>
    <mergeCell ref="C39:C62"/>
    <mergeCell ref="B80:B81"/>
    <mergeCell ref="F87:F89"/>
    <mergeCell ref="G87:G89"/>
    <mergeCell ref="E82:E84"/>
    <mergeCell ref="C35:C36"/>
    <mergeCell ref="D39:D62"/>
    <mergeCell ref="H63:H64"/>
    <mergeCell ref="D232:I232"/>
    <mergeCell ref="B227:I227"/>
    <mergeCell ref="D229:F229"/>
    <mergeCell ref="D231:I231"/>
    <mergeCell ref="C78:C79"/>
    <mergeCell ref="C16:C32"/>
    <mergeCell ref="B16:B32"/>
    <mergeCell ref="B35:B36"/>
    <mergeCell ref="A105:A107"/>
    <mergeCell ref="B105:B107"/>
    <mergeCell ref="C67:C68"/>
    <mergeCell ref="D67:D68"/>
    <mergeCell ref="D69:D72"/>
    <mergeCell ref="C69:C72"/>
    <mergeCell ref="C65:I65"/>
    <mergeCell ref="A92:A93"/>
    <mergeCell ref="B92:B93"/>
    <mergeCell ref="F67:F68"/>
    <mergeCell ref="A67:A68"/>
    <mergeCell ref="H94:H95"/>
    <mergeCell ref="D78:D79"/>
    <mergeCell ref="B67:B68"/>
    <mergeCell ref="G105:G107"/>
    <mergeCell ref="C80:C81"/>
    <mergeCell ref="F215:F216"/>
    <mergeCell ref="G215:G216"/>
    <mergeCell ref="H197:H202"/>
    <mergeCell ref="H215:H216"/>
    <mergeCell ref="H213:H214"/>
    <mergeCell ref="H221:H222"/>
    <mergeCell ref="H219:H220"/>
    <mergeCell ref="H217:H218"/>
    <mergeCell ref="G213:G214"/>
    <mergeCell ref="F213:F214"/>
    <mergeCell ref="H207:H208"/>
    <mergeCell ref="F203:F204"/>
    <mergeCell ref="F207:F208"/>
    <mergeCell ref="G203:G204"/>
    <mergeCell ref="D245:I245"/>
    <mergeCell ref="D244:I244"/>
    <mergeCell ref="D243:I243"/>
    <mergeCell ref="D242:I242"/>
    <mergeCell ref="D240:I240"/>
    <mergeCell ref="D239:I239"/>
    <mergeCell ref="D241:I241"/>
    <mergeCell ref="D237:I237"/>
    <mergeCell ref="D236:I236"/>
    <mergeCell ref="F223:F224"/>
    <mergeCell ref="G223:G224"/>
    <mergeCell ref="H223:H224"/>
    <mergeCell ref="C221:C222"/>
    <mergeCell ref="D221:D222"/>
    <mergeCell ref="E221:E222"/>
    <mergeCell ref="F221:F222"/>
    <mergeCell ref="G221:G222"/>
    <mergeCell ref="C217:C218"/>
    <mergeCell ref="D217:D218"/>
    <mergeCell ref="E217:E218"/>
    <mergeCell ref="F217:F218"/>
    <mergeCell ref="G217:G218"/>
    <mergeCell ref="G219:G220"/>
    <mergeCell ref="F219:F220"/>
    <mergeCell ref="H195:H196"/>
    <mergeCell ref="H188:H190"/>
    <mergeCell ref="H205:H206"/>
    <mergeCell ref="D195:D196"/>
    <mergeCell ref="D188:D190"/>
    <mergeCell ref="D205:D206"/>
    <mergeCell ref="E205:E206"/>
    <mergeCell ref="F205:F206"/>
    <mergeCell ref="G205:G206"/>
    <mergeCell ref="E188:E190"/>
    <mergeCell ref="G188:G190"/>
    <mergeCell ref="F188:F190"/>
    <mergeCell ref="D203:D204"/>
    <mergeCell ref="H203:H204"/>
    <mergeCell ref="E203:E204"/>
    <mergeCell ref="G195:G196"/>
    <mergeCell ref="D197:D202"/>
    <mergeCell ref="F195:F196"/>
    <mergeCell ref="E184:E185"/>
    <mergeCell ref="F184:F185"/>
    <mergeCell ref="G184:G185"/>
    <mergeCell ref="D207:D208"/>
    <mergeCell ref="E207:E208"/>
    <mergeCell ref="F197:F199"/>
    <mergeCell ref="G197:G199"/>
    <mergeCell ref="F201:F202"/>
    <mergeCell ref="G201:G202"/>
    <mergeCell ref="G207:G208"/>
    <mergeCell ref="A188:A190"/>
    <mergeCell ref="B188:B190"/>
    <mergeCell ref="C188:C190"/>
    <mergeCell ref="A195:A196"/>
    <mergeCell ref="B195:B196"/>
    <mergeCell ref="C184:C185"/>
    <mergeCell ref="D160:D161"/>
    <mergeCell ref="D176:D177"/>
    <mergeCell ref="C160:C161"/>
    <mergeCell ref="C166:C169"/>
    <mergeCell ref="D166:D169"/>
    <mergeCell ref="D186:D187"/>
    <mergeCell ref="C164:I164"/>
    <mergeCell ref="E162:E163"/>
    <mergeCell ref="H174:H175"/>
    <mergeCell ref="H186:H187"/>
    <mergeCell ref="H184:H185"/>
    <mergeCell ref="G186:G187"/>
    <mergeCell ref="H178:H179"/>
    <mergeCell ref="H176:H177"/>
    <mergeCell ref="F160:F161"/>
    <mergeCell ref="G160:G161"/>
    <mergeCell ref="F186:F187"/>
    <mergeCell ref="D184:D185"/>
    <mergeCell ref="C197:C202"/>
    <mergeCell ref="E197:E202"/>
    <mergeCell ref="E195:E196"/>
    <mergeCell ref="C195:C196"/>
    <mergeCell ref="A217:A218"/>
    <mergeCell ref="C215:C216"/>
    <mergeCell ref="C213:C214"/>
    <mergeCell ref="A203:A204"/>
    <mergeCell ref="B203:B204"/>
    <mergeCell ref="A205:A206"/>
    <mergeCell ref="B205:B206"/>
    <mergeCell ref="A197:A202"/>
    <mergeCell ref="B197:B202"/>
    <mergeCell ref="C203:C204"/>
    <mergeCell ref="C205:C206"/>
    <mergeCell ref="A207:A208"/>
    <mergeCell ref="B207:B208"/>
    <mergeCell ref="C207:C208"/>
    <mergeCell ref="D215:D216"/>
    <mergeCell ref="E215:E216"/>
    <mergeCell ref="D213:D214"/>
    <mergeCell ref="E213:E214"/>
    <mergeCell ref="E94:E95"/>
    <mergeCell ref="F105:F107"/>
    <mergeCell ref="C98:C100"/>
    <mergeCell ref="F98:F100"/>
    <mergeCell ref="F94:F95"/>
    <mergeCell ref="G94:G95"/>
    <mergeCell ref="C94:C95"/>
    <mergeCell ref="D94:D95"/>
    <mergeCell ref="C97:L97"/>
    <mergeCell ref="C105:C107"/>
    <mergeCell ref="C96:I96"/>
    <mergeCell ref="B98:B100"/>
    <mergeCell ref="B108:B110"/>
    <mergeCell ref="G98:G100"/>
    <mergeCell ref="C101:I101"/>
    <mergeCell ref="D98:D100"/>
    <mergeCell ref="C108:C110"/>
    <mergeCell ref="H105:H107"/>
    <mergeCell ref="H98:H100"/>
    <mergeCell ref="H108:H110"/>
    <mergeCell ref="D105:D107"/>
    <mergeCell ref="E105:E107"/>
    <mergeCell ref="E108:E110"/>
    <mergeCell ref="E98:E100"/>
    <mergeCell ref="F108:F110"/>
    <mergeCell ref="G108:G110"/>
    <mergeCell ref="A90:A91"/>
    <mergeCell ref="B73:B75"/>
    <mergeCell ref="A73:A75"/>
    <mergeCell ref="C73:C75"/>
    <mergeCell ref="D73:D75"/>
    <mergeCell ref="C76:I76"/>
    <mergeCell ref="H78:H79"/>
    <mergeCell ref="E69:E72"/>
    <mergeCell ref="F69:F72"/>
    <mergeCell ref="F80:F81"/>
    <mergeCell ref="G80:G81"/>
    <mergeCell ref="H73:H75"/>
    <mergeCell ref="G74:G75"/>
    <mergeCell ref="F73:F75"/>
    <mergeCell ref="A82:A84"/>
    <mergeCell ref="B82:B84"/>
    <mergeCell ref="C82:C84"/>
    <mergeCell ref="D80:D81"/>
    <mergeCell ref="F78:F79"/>
    <mergeCell ref="G78:G79"/>
    <mergeCell ref="G69:G72"/>
    <mergeCell ref="E73:E75"/>
    <mergeCell ref="D82:D84"/>
    <mergeCell ref="F113:F114"/>
    <mergeCell ref="F111:F112"/>
    <mergeCell ref="H111:H127"/>
    <mergeCell ref="G129:G137"/>
    <mergeCell ref="H128:H137"/>
    <mergeCell ref="H151:H152"/>
    <mergeCell ref="H147:H150"/>
    <mergeCell ref="H138:H140"/>
    <mergeCell ref="F124:F125"/>
    <mergeCell ref="F117:F118"/>
    <mergeCell ref="F115:F116"/>
    <mergeCell ref="G151:G152"/>
    <mergeCell ref="F147:F150"/>
    <mergeCell ref="G147:G150"/>
    <mergeCell ref="F126:F127"/>
    <mergeCell ref="G138:G140"/>
    <mergeCell ref="G111:G127"/>
    <mergeCell ref="C143:I143"/>
    <mergeCell ref="C146:L146"/>
    <mergeCell ref="E151:E152"/>
    <mergeCell ref="E138:E140"/>
    <mergeCell ref="E111:E127"/>
    <mergeCell ref="C111:C127"/>
    <mergeCell ref="D111:D127"/>
    <mergeCell ref="G92:G93"/>
    <mergeCell ref="E90:E91"/>
    <mergeCell ref="F90:F91"/>
    <mergeCell ref="C90:C91"/>
    <mergeCell ref="D90:D91"/>
    <mergeCell ref="C92:C93"/>
    <mergeCell ref="E92:E93"/>
    <mergeCell ref="D92:D93"/>
    <mergeCell ref="F82:F84"/>
    <mergeCell ref="G82:G84"/>
    <mergeCell ref="D87:D89"/>
    <mergeCell ref="C85:I85"/>
    <mergeCell ref="H92:H93"/>
    <mergeCell ref="H90:H91"/>
    <mergeCell ref="G90:G91"/>
    <mergeCell ref="F92:F93"/>
    <mergeCell ref="C87:C89"/>
    <mergeCell ref="H87:H89"/>
    <mergeCell ref="H82:H84"/>
    <mergeCell ref="C155:I155"/>
    <mergeCell ref="E166:E169"/>
    <mergeCell ref="D178:D179"/>
    <mergeCell ref="H166:H169"/>
    <mergeCell ref="H157:H159"/>
    <mergeCell ref="E178:E179"/>
    <mergeCell ref="G178:G179"/>
    <mergeCell ref="C174:C175"/>
    <mergeCell ref="G166:G169"/>
    <mergeCell ref="G174:G175"/>
    <mergeCell ref="F174:F175"/>
    <mergeCell ref="H160:H161"/>
    <mergeCell ref="C170:I170"/>
    <mergeCell ref="F166:F169"/>
    <mergeCell ref="A223:A224"/>
    <mergeCell ref="C223:C224"/>
    <mergeCell ref="D223:D224"/>
    <mergeCell ref="E223:E224"/>
    <mergeCell ref="A174:A175"/>
    <mergeCell ref="B174:B175"/>
    <mergeCell ref="D174:D175"/>
    <mergeCell ref="E174:E175"/>
    <mergeCell ref="C151:C152"/>
    <mergeCell ref="D151:D152"/>
    <mergeCell ref="A213:A214"/>
    <mergeCell ref="A219:A220"/>
    <mergeCell ref="B215:B216"/>
    <mergeCell ref="A215:A216"/>
    <mergeCell ref="C219:C220"/>
    <mergeCell ref="D219:D220"/>
    <mergeCell ref="E219:E220"/>
    <mergeCell ref="A184:A185"/>
    <mergeCell ref="B184:B185"/>
    <mergeCell ref="B213:B214"/>
    <mergeCell ref="C186:C187"/>
    <mergeCell ref="E186:E187"/>
    <mergeCell ref="A186:A187"/>
    <mergeCell ref="B186:B187"/>
    <mergeCell ref="B147:B150"/>
    <mergeCell ref="C147:C150"/>
    <mergeCell ref="D147:D150"/>
    <mergeCell ref="H141:H142"/>
    <mergeCell ref="D141:D142"/>
    <mergeCell ref="E141:E142"/>
    <mergeCell ref="G141:G142"/>
    <mergeCell ref="E147:E150"/>
    <mergeCell ref="C128:C137"/>
    <mergeCell ref="D128:D137"/>
    <mergeCell ref="E128:E137"/>
    <mergeCell ref="D138:D140"/>
    <mergeCell ref="C141:C142"/>
    <mergeCell ref="C138:C140"/>
    <mergeCell ref="F138:F140"/>
    <mergeCell ref="F141:F142"/>
    <mergeCell ref="I4:L4"/>
    <mergeCell ref="A138:A140"/>
    <mergeCell ref="I3:L3"/>
    <mergeCell ref="A221:A222"/>
    <mergeCell ref="A141:A142"/>
    <mergeCell ref="B141:B142"/>
    <mergeCell ref="A13:L13"/>
    <mergeCell ref="H153:H154"/>
    <mergeCell ref="A153:A154"/>
    <mergeCell ref="B153:B154"/>
    <mergeCell ref="C153:C154"/>
    <mergeCell ref="D153:D154"/>
    <mergeCell ref="A87:A89"/>
    <mergeCell ref="B87:B89"/>
    <mergeCell ref="B90:B91"/>
    <mergeCell ref="A94:A95"/>
    <mergeCell ref="B94:B95"/>
    <mergeCell ref="A108:A110"/>
    <mergeCell ref="A98:A100"/>
    <mergeCell ref="D108:D110"/>
    <mergeCell ref="B111:B127"/>
    <mergeCell ref="B128:B137"/>
    <mergeCell ref="A147:A150"/>
    <mergeCell ref="B138:B140"/>
  </mergeCells>
  <pageMargins left="0.7" right="0.7" top="0.75" bottom="0.75" header="0.3" footer="0.3"/>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9"/>
  <sheetViews>
    <sheetView zoomScale="110" zoomScaleNormal="110" workbookViewId="0">
      <selection activeCell="H6" sqref="H6:J6"/>
    </sheetView>
  </sheetViews>
  <sheetFormatPr defaultColWidth="9.109375" defaultRowHeight="12" x14ac:dyDescent="0.25"/>
  <cols>
    <col min="1" max="6" width="9.109375" style="19"/>
    <col min="7" max="7" width="29.44140625" style="19" customWidth="1"/>
    <col min="8" max="8" width="12" style="19" customWidth="1"/>
    <col min="9" max="9" width="9.109375" style="19" customWidth="1"/>
    <col min="10" max="10" width="13.33203125" style="19" customWidth="1"/>
    <col min="11" max="12" width="3" style="19" customWidth="1"/>
    <col min="13" max="16384" width="9.109375" style="19"/>
  </cols>
  <sheetData>
    <row r="1" spans="1:11" ht="41.25" customHeight="1" x14ac:dyDescent="0.25">
      <c r="H1" s="1529" t="s">
        <v>505</v>
      </c>
      <c r="I1" s="1529"/>
      <c r="J1" s="1529"/>
    </row>
    <row r="2" spans="1:11" ht="36" hidden="1" customHeight="1" x14ac:dyDescent="0.25">
      <c r="H2" s="1521" t="s">
        <v>513</v>
      </c>
      <c r="I2" s="1521"/>
      <c r="J2" s="1521"/>
    </row>
    <row r="3" spans="1:11" ht="36" hidden="1" customHeight="1" x14ac:dyDescent="0.25">
      <c r="H3" s="1529" t="s">
        <v>512</v>
      </c>
      <c r="I3" s="1529"/>
      <c r="J3" s="1529"/>
      <c r="K3" s="1529"/>
    </row>
    <row r="4" spans="1:11" ht="36" customHeight="1" x14ac:dyDescent="0.25">
      <c r="H4" s="1529" t="s">
        <v>518</v>
      </c>
      <c r="I4" s="1529"/>
      <c r="J4" s="1529"/>
      <c r="K4" s="1529"/>
    </row>
    <row r="5" spans="1:11" x14ac:dyDescent="0.25">
      <c r="H5" s="373"/>
      <c r="I5" s="373"/>
      <c r="J5" s="373"/>
    </row>
    <row r="6" spans="1:11" ht="37.5" customHeight="1" x14ac:dyDescent="0.25">
      <c r="H6" s="1529" t="s">
        <v>504</v>
      </c>
      <c r="I6" s="1529"/>
      <c r="J6" s="1529"/>
    </row>
    <row r="7" spans="1:11" x14ac:dyDescent="0.25">
      <c r="H7" s="373"/>
      <c r="I7" s="373"/>
      <c r="J7" s="373"/>
    </row>
    <row r="8" spans="1:11" ht="15.75" customHeight="1" x14ac:dyDescent="0.25"/>
    <row r="9" spans="1:11" ht="30" customHeight="1" x14ac:dyDescent="0.25">
      <c r="B9" s="1649" t="s">
        <v>144</v>
      </c>
      <c r="C9" s="1650"/>
      <c r="D9" s="1650"/>
      <c r="E9" s="1650"/>
      <c r="F9" s="1650"/>
      <c r="G9" s="1650"/>
      <c r="H9" s="773" t="s">
        <v>10</v>
      </c>
      <c r="I9" s="774" t="s">
        <v>11</v>
      </c>
      <c r="J9" s="126" t="s">
        <v>12</v>
      </c>
    </row>
    <row r="10" spans="1:11" ht="15" customHeight="1" x14ac:dyDescent="0.25">
      <c r="B10" s="1659" t="s">
        <v>145</v>
      </c>
      <c r="C10" s="1660"/>
      <c r="D10" s="1660"/>
      <c r="E10" s="1660"/>
      <c r="F10" s="1660"/>
      <c r="G10" s="1660"/>
      <c r="H10" s="127"/>
      <c r="I10" s="128"/>
      <c r="J10" s="128"/>
    </row>
    <row r="11" spans="1:11" ht="15" customHeight="1" x14ac:dyDescent="0.25">
      <c r="B11" s="1632" t="s">
        <v>146</v>
      </c>
      <c r="C11" s="1633"/>
      <c r="D11" s="1633"/>
      <c r="E11" s="1633"/>
      <c r="F11" s="1633"/>
      <c r="G11" s="1633"/>
      <c r="H11" s="129">
        <f>H12+H18+H19</f>
        <v>75156.691000000006</v>
      </c>
      <c r="I11" s="129">
        <f t="shared" ref="I11:J11" si="0">I12+I18+I19</f>
        <v>71747.940999999992</v>
      </c>
      <c r="J11" s="129">
        <f t="shared" si="0"/>
        <v>81111.841</v>
      </c>
    </row>
    <row r="12" spans="1:11" ht="15.75" customHeight="1" x14ac:dyDescent="0.25">
      <c r="B12" s="1645" t="s">
        <v>147</v>
      </c>
      <c r="C12" s="1646"/>
      <c r="D12" s="1646"/>
      <c r="E12" s="1646"/>
      <c r="F12" s="1646"/>
      <c r="G12" s="1646"/>
      <c r="H12" s="130">
        <f>SUM(H13:H17)</f>
        <v>70407.091000000015</v>
      </c>
      <c r="I12" s="130">
        <f t="shared" ref="I12:J12" si="1">SUM(I13:I17)</f>
        <v>71417.740999999995</v>
      </c>
      <c r="J12" s="130">
        <f t="shared" si="1"/>
        <v>80781.641000000003</v>
      </c>
    </row>
    <row r="13" spans="1:11" ht="15.75" customHeight="1" x14ac:dyDescent="0.25">
      <c r="B13" s="1651" t="s">
        <v>148</v>
      </c>
      <c r="C13" s="1652"/>
      <c r="D13" s="1652"/>
      <c r="E13" s="1652"/>
      <c r="F13" s="1652"/>
      <c r="G13" s="1653"/>
      <c r="H13" s="131">
        <f>'1 programa'!J245+'2 programa'!J252+'3 programa'!J263+'4 programa'!J126+'5 programa'!J235</f>
        <v>40055.180000000015</v>
      </c>
      <c r="I13" s="131">
        <f>'1 programa'!K245+'2 programa'!K252+'3 programa'!K263+'4 programa'!K126+'5 programa'!K235</f>
        <v>39705.5</v>
      </c>
      <c r="J13" s="131">
        <f>'1 programa'!L245+'2 programa'!L252+'3 programa'!L263+'4 programa'!L126+'5 programa'!L235</f>
        <v>39710.800000000003</v>
      </c>
    </row>
    <row r="14" spans="1:11" ht="15" customHeight="1" x14ac:dyDescent="0.25">
      <c r="B14" s="1635" t="s">
        <v>149</v>
      </c>
      <c r="C14" s="1636"/>
      <c r="D14" s="1636"/>
      <c r="E14" s="1636"/>
      <c r="F14" s="1636"/>
      <c r="G14" s="1637"/>
      <c r="H14" s="131">
        <f>'1 programa'!J246+'2 programa'!J253+'3 programa'!J264+'4 programa'!J127+'5 programa'!J236</f>
        <v>28091.211000000003</v>
      </c>
      <c r="I14" s="131">
        <f>'1 programa'!K246+'2 programa'!K253+'3 programa'!K264+'4 programa'!K127+'5 programa'!K236</f>
        <v>24717.540999999997</v>
      </c>
      <c r="J14" s="131">
        <f>'1 programa'!L246+'2 programa'!L253+'3 programa'!L264+'4 programa'!L127+'5 programa'!L236</f>
        <v>24717.540999999997</v>
      </c>
    </row>
    <row r="15" spans="1:11" ht="15" customHeight="1" x14ac:dyDescent="0.25">
      <c r="A15" s="197"/>
      <c r="B15" s="1635" t="s">
        <v>150</v>
      </c>
      <c r="C15" s="1636"/>
      <c r="D15" s="1636"/>
      <c r="E15" s="1636"/>
      <c r="F15" s="1636"/>
      <c r="G15" s="1637"/>
      <c r="H15" s="131">
        <f>'1 programa'!J247+'2 programa'!J254+'3 programa'!J265+'4 programa'!J128+'5 programa'!J237</f>
        <v>1229</v>
      </c>
      <c r="I15" s="131">
        <f>'1 programa'!K247+'2 programa'!K254+'3 programa'!K265+'4 programa'!K128+'5 programa'!K237</f>
        <v>1078.7000000000003</v>
      </c>
      <c r="J15" s="131">
        <f>'1 programa'!L247+'2 programa'!L254+'3 programa'!L265+'4 programa'!L128+'5 programa'!L237</f>
        <v>1078.7000000000003</v>
      </c>
    </row>
    <row r="16" spans="1:11" ht="15" customHeight="1" x14ac:dyDescent="0.25">
      <c r="A16" s="197"/>
      <c r="B16" s="1635" t="s">
        <v>151</v>
      </c>
      <c r="C16" s="1636"/>
      <c r="D16" s="1636"/>
      <c r="E16" s="1636"/>
      <c r="F16" s="1636"/>
      <c r="G16" s="1637"/>
      <c r="H16" s="131">
        <f>'1 programa'!J248+'2 programa'!J255+'3 programa'!J266+'4 programa'!J129+'5 programa'!J238</f>
        <v>506.7</v>
      </c>
      <c r="I16" s="131">
        <f>'1 programa'!K248+'2 programa'!K255+'3 programa'!K266+'4 programa'!K129+'5 programa'!K238</f>
        <v>404</v>
      </c>
      <c r="J16" s="131">
        <f>'1 programa'!L248+'2 programa'!L255+'3 programa'!L266+'4 programa'!L129+'5 programa'!L238</f>
        <v>404</v>
      </c>
    </row>
    <row r="17" spans="1:10" ht="15" customHeight="1" x14ac:dyDescent="0.25">
      <c r="A17" s="197"/>
      <c r="B17" s="1635" t="s">
        <v>152</v>
      </c>
      <c r="C17" s="1636"/>
      <c r="D17" s="1636"/>
      <c r="E17" s="1636"/>
      <c r="F17" s="1636"/>
      <c r="G17" s="1637"/>
      <c r="H17" s="131">
        <f>'1 programa'!J249+'2 programa'!J256+'3 programa'!J267+'4 programa'!J130+'5 programa'!J239</f>
        <v>525</v>
      </c>
      <c r="I17" s="131">
        <f>'1 programa'!K249+'2 programa'!K256+'3 programa'!K267+'4 programa'!K130+'5 programa'!K239</f>
        <v>5512</v>
      </c>
      <c r="J17" s="131">
        <f>'1 programa'!L249+'2 programa'!L256+'3 programa'!L267+'4 programa'!L130+'5 programa'!L239</f>
        <v>14870.6</v>
      </c>
    </row>
    <row r="18" spans="1:10" ht="15" customHeight="1" x14ac:dyDescent="0.25">
      <c r="A18" s="197"/>
      <c r="B18" s="1635" t="s">
        <v>153</v>
      </c>
      <c r="C18" s="1636"/>
      <c r="D18" s="1636"/>
      <c r="E18" s="1636"/>
      <c r="F18" s="1636"/>
      <c r="G18" s="1637"/>
      <c r="H18" s="131">
        <f>'1 programa'!J250+'2 programa'!J257+'3 programa'!J268+'4 programa'!J131+'5 programa'!J240</f>
        <v>2697.4</v>
      </c>
      <c r="I18" s="131">
        <f>'1 programa'!K250+'2 programa'!K257+'3 programa'!K268+'4 programa'!K131+'5 programa'!K240</f>
        <v>0</v>
      </c>
      <c r="J18" s="131">
        <f>'1 programa'!L250+'2 programa'!L257+'3 programa'!L268+'4 programa'!L131+'5 programa'!L240</f>
        <v>0</v>
      </c>
    </row>
    <row r="19" spans="1:10" ht="15" customHeight="1" x14ac:dyDescent="0.25">
      <c r="A19" s="197"/>
      <c r="B19" s="1635" t="s">
        <v>154</v>
      </c>
      <c r="C19" s="1636"/>
      <c r="D19" s="1636"/>
      <c r="E19" s="1636"/>
      <c r="F19" s="1636"/>
      <c r="G19" s="1637"/>
      <c r="H19" s="131">
        <f>'1 programa'!J251+'2 programa'!J258+'3 programa'!J269+'4 programa'!J132+'5 programa'!J241</f>
        <v>2052.2000000000003</v>
      </c>
      <c r="I19" s="131">
        <f>'1 programa'!K251+'2 programa'!K258+'3 programa'!K269+'4 programa'!K132+'5 programa'!K241</f>
        <v>330.2</v>
      </c>
      <c r="J19" s="131">
        <f>'1 programa'!L251+'2 programa'!L258+'3 programa'!L269+'4 programa'!L132+'5 programa'!L241</f>
        <v>330.2</v>
      </c>
    </row>
    <row r="20" spans="1:10" ht="30.75" customHeight="1" x14ac:dyDescent="0.25">
      <c r="A20" s="197"/>
      <c r="B20" s="1632" t="s">
        <v>155</v>
      </c>
      <c r="C20" s="1633"/>
      <c r="D20" s="1633"/>
      <c r="E20" s="1633"/>
      <c r="F20" s="1633"/>
      <c r="G20" s="1634"/>
      <c r="H20" s="129">
        <v>0</v>
      </c>
      <c r="I20" s="133">
        <v>0</v>
      </c>
      <c r="J20" s="134">
        <v>0</v>
      </c>
    </row>
    <row r="21" spans="1:10" ht="24.75" customHeight="1" x14ac:dyDescent="0.25">
      <c r="A21" s="197"/>
      <c r="B21" s="1629" t="s">
        <v>156</v>
      </c>
      <c r="C21" s="1630"/>
      <c r="D21" s="1630"/>
      <c r="E21" s="1630"/>
      <c r="F21" s="1630"/>
      <c r="G21" s="1631"/>
      <c r="H21" s="455">
        <f>'1 programa'!J253+'2 programa'!J260+'3 programa'!J271+'4 programa'!J134+'5 programa'!J243</f>
        <v>12899.900000000003</v>
      </c>
      <c r="I21" s="455">
        <f>'1 programa'!K253+'2 programa'!K260+'3 programa'!K271+'4 programa'!K134+'5 programa'!K243</f>
        <v>181.2</v>
      </c>
      <c r="J21" s="455">
        <f>'1 programa'!L253+'2 programa'!L260+'3 programa'!L271+'4 programa'!L134+'5 programa'!L243</f>
        <v>127.80000000000001</v>
      </c>
    </row>
    <row r="22" spans="1:10" ht="15" customHeight="1" x14ac:dyDescent="0.25">
      <c r="A22" s="197"/>
      <c r="B22" s="1632" t="s">
        <v>157</v>
      </c>
      <c r="C22" s="1633"/>
      <c r="D22" s="1633"/>
      <c r="E22" s="1633"/>
      <c r="F22" s="1633"/>
      <c r="G22" s="1634"/>
      <c r="H22" s="129">
        <f>H11+H20</f>
        <v>75156.691000000006</v>
      </c>
      <c r="I22" s="129">
        <f t="shared" ref="I22:J22" si="2">I11+I20</f>
        <v>71747.940999999992</v>
      </c>
      <c r="J22" s="129">
        <f t="shared" si="2"/>
        <v>81111.841</v>
      </c>
    </row>
    <row r="23" spans="1:10" ht="15" customHeight="1" x14ac:dyDescent="0.25">
      <c r="A23" s="197"/>
      <c r="B23" s="1635" t="s">
        <v>158</v>
      </c>
      <c r="C23" s="1636"/>
      <c r="D23" s="1636"/>
      <c r="E23" s="1636"/>
      <c r="F23" s="1636"/>
      <c r="G23" s="1637"/>
      <c r="H23" s="138">
        <v>0</v>
      </c>
      <c r="I23" s="138">
        <v>0</v>
      </c>
      <c r="J23" s="196">
        <v>0</v>
      </c>
    </row>
    <row r="24" spans="1:10" ht="15" customHeight="1" x14ac:dyDescent="0.25">
      <c r="B24" s="1626" t="s">
        <v>159</v>
      </c>
      <c r="C24" s="1627"/>
      <c r="D24" s="1627"/>
      <c r="E24" s="1627"/>
      <c r="F24" s="1627"/>
      <c r="G24" s="1628"/>
      <c r="H24" s="522">
        <f>H22</f>
        <v>75156.691000000006</v>
      </c>
      <c r="I24" s="522">
        <f t="shared" ref="I24:J24" si="3">I22</f>
        <v>71747.940999999992</v>
      </c>
      <c r="J24" s="522">
        <f t="shared" si="3"/>
        <v>81111.841</v>
      </c>
    </row>
    <row r="25" spans="1:10" ht="15" customHeight="1" x14ac:dyDescent="0.25"/>
    <row r="26" spans="1:10" ht="15" customHeight="1" x14ac:dyDescent="0.25"/>
    <row r="27" spans="1:10" ht="15" customHeight="1" x14ac:dyDescent="0.25"/>
    <row r="28" spans="1:10" ht="15" customHeight="1" x14ac:dyDescent="0.25"/>
    <row r="29" spans="1:10" ht="15.75" customHeight="1" x14ac:dyDescent="0.25"/>
    <row r="30" spans="1:10" ht="15.75" customHeight="1" x14ac:dyDescent="0.25"/>
    <row r="31" spans="1:10" ht="15" customHeight="1" x14ac:dyDescent="0.25"/>
    <row r="32" spans="1:10" ht="15" customHeight="1" x14ac:dyDescent="0.25"/>
    <row r="33" spans="8:10" ht="15" customHeight="1" x14ac:dyDescent="0.25"/>
    <row r="34" spans="8:10" ht="15.75" customHeight="1" x14ac:dyDescent="0.25"/>
    <row r="38" spans="8:10" x14ac:dyDescent="0.25">
      <c r="H38" s="523"/>
      <c r="I38" s="373"/>
      <c r="J38" s="373"/>
    </row>
    <row r="39" spans="8:10" x14ac:dyDescent="0.25">
      <c r="H39" s="373"/>
      <c r="I39" s="373"/>
      <c r="J39" s="373"/>
    </row>
  </sheetData>
  <mergeCells count="21">
    <mergeCell ref="B14:G14"/>
    <mergeCell ref="B15:G15"/>
    <mergeCell ref="B16:G16"/>
    <mergeCell ref="B17:G17"/>
    <mergeCell ref="B18:G18"/>
    <mergeCell ref="B24:G24"/>
    <mergeCell ref="B19:G19"/>
    <mergeCell ref="B20:G20"/>
    <mergeCell ref="B21:G21"/>
    <mergeCell ref="B22:G22"/>
    <mergeCell ref="B23:G23"/>
    <mergeCell ref="B11:G11"/>
    <mergeCell ref="B12:G12"/>
    <mergeCell ref="B13:G13"/>
    <mergeCell ref="H1:J1"/>
    <mergeCell ref="H2:J2"/>
    <mergeCell ref="H6:J6"/>
    <mergeCell ref="B9:G9"/>
    <mergeCell ref="B10:G10"/>
    <mergeCell ref="H3:K3"/>
    <mergeCell ref="H4:K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E21"/>
  <sheetViews>
    <sheetView workbookViewId="0">
      <selection activeCell="K40" sqref="K40"/>
    </sheetView>
  </sheetViews>
  <sheetFormatPr defaultRowHeight="14.4" x14ac:dyDescent="0.3"/>
  <cols>
    <col min="2" max="2" width="62.109375" customWidth="1"/>
  </cols>
  <sheetData>
    <row r="1" spans="1:5" ht="79.8" x14ac:dyDescent="0.3">
      <c r="A1" s="7" t="s">
        <v>456</v>
      </c>
      <c r="B1" s="8" t="s">
        <v>457</v>
      </c>
      <c r="C1" s="8" t="s">
        <v>458</v>
      </c>
      <c r="D1" s="8" t="s">
        <v>459</v>
      </c>
      <c r="E1" s="9" t="s">
        <v>460</v>
      </c>
    </row>
    <row r="2" spans="1:5" x14ac:dyDescent="0.3">
      <c r="A2" s="1317" t="s">
        <v>461</v>
      </c>
      <c r="B2" s="1318" t="s">
        <v>462</v>
      </c>
      <c r="C2" s="1319" t="s">
        <v>463</v>
      </c>
      <c r="D2" s="1319" t="s">
        <v>464</v>
      </c>
      <c r="E2" s="1112" t="s">
        <v>465</v>
      </c>
    </row>
    <row r="3" spans="1:5" x14ac:dyDescent="0.3">
      <c r="A3" s="1320" t="s">
        <v>466</v>
      </c>
      <c r="B3" s="1321" t="s">
        <v>467</v>
      </c>
      <c r="C3" s="11">
        <f>'1 programa'!J256</f>
        <v>21211.610000000011</v>
      </c>
      <c r="D3" s="11">
        <f>'1 programa'!K256</f>
        <v>19807.800000000003</v>
      </c>
      <c r="E3" s="11">
        <f>'1 programa'!L256</f>
        <v>19650.200000000004</v>
      </c>
    </row>
    <row r="4" spans="1:5" x14ac:dyDescent="0.3">
      <c r="A4" s="1320" t="s">
        <v>468</v>
      </c>
      <c r="B4" s="1321" t="s">
        <v>469</v>
      </c>
      <c r="C4" s="11">
        <f>'2 programa'!J263</f>
        <v>24019.420000000002</v>
      </c>
      <c r="D4" s="11">
        <f>'2 programa'!K263</f>
        <v>24201.999999999996</v>
      </c>
      <c r="E4" s="11">
        <f>'2 programa'!L263</f>
        <v>24009.399999999998</v>
      </c>
    </row>
    <row r="5" spans="1:5" x14ac:dyDescent="0.3">
      <c r="A5" s="1320" t="s">
        <v>470</v>
      </c>
      <c r="B5" s="1321" t="s">
        <v>471</v>
      </c>
      <c r="C5" s="11">
        <f>'3 programa'!J274</f>
        <v>25752.151000000005</v>
      </c>
      <c r="D5" s="12">
        <f>'3 programa'!K274</f>
        <v>15540.940999999999</v>
      </c>
      <c r="E5" s="12">
        <f>'3 programa'!L274</f>
        <v>25743.040999999997</v>
      </c>
    </row>
    <row r="6" spans="1:5" x14ac:dyDescent="0.3">
      <c r="A6" s="1320" t="s">
        <v>472</v>
      </c>
      <c r="B6" s="1321" t="s">
        <v>473</v>
      </c>
      <c r="C6" s="11">
        <f>'4 programa'!J137</f>
        <v>2751.1000000000004</v>
      </c>
      <c r="D6" s="11">
        <f>'4 programa'!K137</f>
        <v>3360.2</v>
      </c>
      <c r="E6" s="11">
        <f>'4 programa'!L137</f>
        <v>3221.7999999999997</v>
      </c>
    </row>
    <row r="7" spans="1:5" x14ac:dyDescent="0.3">
      <c r="A7" s="1320" t="s">
        <v>474</v>
      </c>
      <c r="B7" s="1321" t="s">
        <v>475</v>
      </c>
      <c r="C7" s="11">
        <f>'5 programa'!J246</f>
        <v>14322.310000000005</v>
      </c>
      <c r="D7" s="11">
        <f>'5 programa'!K246</f>
        <v>9018.2000000000007</v>
      </c>
      <c r="E7" s="11">
        <f>'5 programa'!L246</f>
        <v>8615.2000000000007</v>
      </c>
    </row>
    <row r="8" spans="1:5" x14ac:dyDescent="0.3">
      <c r="A8" s="3146" t="s">
        <v>476</v>
      </c>
      <c r="B8" s="3147"/>
      <c r="C8" s="13">
        <f>Suvestinė!H12</f>
        <v>70407.091000000015</v>
      </c>
      <c r="D8" s="13">
        <f>Suvestinė!I12</f>
        <v>71417.740999999995</v>
      </c>
      <c r="E8" s="13">
        <f>Suvestinė!J12</f>
        <v>80781.641000000003</v>
      </c>
    </row>
    <row r="9" spans="1:5" x14ac:dyDescent="0.3">
      <c r="A9" s="10" t="s">
        <v>477</v>
      </c>
      <c r="C9" s="13">
        <f>Suvestinė!H13</f>
        <v>40055.180000000015</v>
      </c>
      <c r="D9" s="13">
        <f>Suvestinė!I13</f>
        <v>39705.5</v>
      </c>
      <c r="E9" s="13">
        <f>Suvestinė!J13</f>
        <v>39710.800000000003</v>
      </c>
    </row>
    <row r="10" spans="1:5" x14ac:dyDescent="0.3">
      <c r="A10" s="10" t="s">
        <v>478</v>
      </c>
      <c r="C10" s="14"/>
      <c r="D10" s="14"/>
      <c r="E10" s="14"/>
    </row>
    <row r="11" spans="1:5" x14ac:dyDescent="0.3">
      <c r="A11" s="3146" t="s">
        <v>479</v>
      </c>
      <c r="B11" s="3147"/>
      <c r="C11" s="13">
        <f>Suvestinė!H14</f>
        <v>28091.211000000003</v>
      </c>
      <c r="D11" s="13">
        <f>Suvestinė!I14</f>
        <v>24717.540999999997</v>
      </c>
      <c r="E11" s="13">
        <f>Suvestinė!J14</f>
        <v>24717.540999999997</v>
      </c>
    </row>
    <row r="12" spans="1:5" x14ac:dyDescent="0.3">
      <c r="A12" s="3146" t="s">
        <v>480</v>
      </c>
      <c r="B12" s="3147"/>
      <c r="C12" s="13">
        <f>Suvestinė!H15</f>
        <v>1229</v>
      </c>
      <c r="D12" s="13">
        <f>Suvestinė!I15</f>
        <v>1078.7000000000003</v>
      </c>
      <c r="E12" s="13">
        <f>Suvestinė!J15</f>
        <v>1078.7000000000003</v>
      </c>
    </row>
    <row r="13" spans="1:5" x14ac:dyDescent="0.3">
      <c r="A13" s="3146" t="s">
        <v>481</v>
      </c>
      <c r="B13" s="3147"/>
      <c r="C13" s="13">
        <f>Suvestinė!H17</f>
        <v>525</v>
      </c>
      <c r="D13" s="13">
        <f>Suvestinė!I17</f>
        <v>5512</v>
      </c>
      <c r="E13" s="13">
        <f>Suvestinė!J17</f>
        <v>14870.6</v>
      </c>
    </row>
    <row r="14" spans="1:5" x14ac:dyDescent="0.3">
      <c r="A14" s="3146" t="s">
        <v>482</v>
      </c>
      <c r="B14" s="3147"/>
      <c r="C14" s="13">
        <f>Suvestinė!H18</f>
        <v>2697.4</v>
      </c>
      <c r="D14" s="13">
        <f>Suvestinė!I18</f>
        <v>0</v>
      </c>
      <c r="E14" s="13">
        <f>Suvestinė!J18</f>
        <v>0</v>
      </c>
    </row>
    <row r="15" spans="1:5" x14ac:dyDescent="0.3">
      <c r="A15" s="3146" t="s">
        <v>483</v>
      </c>
      <c r="B15" s="3147"/>
      <c r="C15" s="13">
        <f>Suvestinė!H19</f>
        <v>2052.2000000000003</v>
      </c>
      <c r="D15" s="13">
        <f>Suvestinė!I19</f>
        <v>330.2</v>
      </c>
      <c r="E15" s="13">
        <f>Suvestinė!J19</f>
        <v>330.2</v>
      </c>
    </row>
    <row r="16" spans="1:5" x14ac:dyDescent="0.3">
      <c r="A16" s="3146" t="s">
        <v>484</v>
      </c>
      <c r="B16" s="3147"/>
      <c r="C16" s="15">
        <f>Suvestinė!H16</f>
        <v>506.7</v>
      </c>
      <c r="D16" s="15">
        <f>Suvestinė!I16</f>
        <v>404</v>
      </c>
      <c r="E16" s="15">
        <f>Suvestinė!J16</f>
        <v>404</v>
      </c>
    </row>
    <row r="17" spans="1:5" ht="24" customHeight="1" x14ac:dyDescent="0.3">
      <c r="A17" s="3146" t="s">
        <v>485</v>
      </c>
      <c r="B17" s="3147"/>
      <c r="C17" s="13">
        <f>Suvestinė!H21</f>
        <v>12899.900000000003</v>
      </c>
      <c r="D17" s="13">
        <f>Suvestinė!I21</f>
        <v>181.2</v>
      </c>
      <c r="E17" s="13">
        <f>Suvestinė!J21</f>
        <v>127.80000000000001</v>
      </c>
    </row>
    <row r="18" spans="1:5" x14ac:dyDescent="0.3">
      <c r="A18" s="3146" t="s">
        <v>486</v>
      </c>
      <c r="B18" s="3147"/>
      <c r="C18" s="13" t="s">
        <v>487</v>
      </c>
      <c r="D18" s="13" t="s">
        <v>488</v>
      </c>
      <c r="E18" s="13" t="s">
        <v>489</v>
      </c>
    </row>
    <row r="19" spans="1:5" x14ac:dyDescent="0.3">
      <c r="A19" s="3146" t="s">
        <v>490</v>
      </c>
      <c r="B19" s="3147"/>
      <c r="C19" s="13">
        <f>Suvestinė!H23</f>
        <v>0</v>
      </c>
      <c r="D19" s="13">
        <f>Suvestinė!I23</f>
        <v>0</v>
      </c>
      <c r="E19" s="13">
        <f>Suvestinė!J23</f>
        <v>0</v>
      </c>
    </row>
    <row r="20" spans="1:5" x14ac:dyDescent="0.3">
      <c r="A20" s="3146" t="s">
        <v>491</v>
      </c>
      <c r="B20" s="3147"/>
      <c r="C20" s="13" t="s">
        <v>492</v>
      </c>
      <c r="D20" s="13" t="s">
        <v>492</v>
      </c>
      <c r="E20" s="13" t="s">
        <v>492</v>
      </c>
    </row>
    <row r="21" spans="1:5" x14ac:dyDescent="0.3">
      <c r="A21" s="3144" t="s">
        <v>493</v>
      </c>
      <c r="B21" s="3145"/>
      <c r="C21" s="13">
        <f>Suvestinė!H24</f>
        <v>75156.691000000006</v>
      </c>
      <c r="D21" s="13">
        <f>Suvestinė!I24</f>
        <v>71747.940999999992</v>
      </c>
      <c r="E21" s="13">
        <f>Suvestinė!J24</f>
        <v>81111.841</v>
      </c>
    </row>
  </sheetData>
  <mergeCells count="12">
    <mergeCell ref="A21:B21"/>
    <mergeCell ref="A8:B8"/>
    <mergeCell ref="A11:B11"/>
    <mergeCell ref="A12:B12"/>
    <mergeCell ref="A13:B13"/>
    <mergeCell ref="A14:B14"/>
    <mergeCell ref="A15:B15"/>
    <mergeCell ref="A16:B16"/>
    <mergeCell ref="A17:B17"/>
    <mergeCell ref="A18:B18"/>
    <mergeCell ref="A19:B19"/>
    <mergeCell ref="A20:B2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9FF89BC0D15E42850BA04E1E8B4F0E" ma:contentTypeVersion="18" ma:contentTypeDescription="Create a new document." ma:contentTypeScope="" ma:versionID="e753e700da732a6569831e935df4384d">
  <xsd:schema xmlns:xsd="http://www.w3.org/2001/XMLSchema" xmlns:xs="http://www.w3.org/2001/XMLSchema" xmlns:p="http://schemas.microsoft.com/office/2006/metadata/properties" xmlns:ns1="http://schemas.microsoft.com/sharepoint/v3" xmlns:ns2="b9a3712e-bc20-405a-b37f-500586867ac7" xmlns:ns3="7463d64c-3a86-4ce4-961a-ea9a276065c6" targetNamespace="http://schemas.microsoft.com/office/2006/metadata/properties" ma:root="true" ma:fieldsID="3b280e63ec9805b16fed4572c929e66d" ns1:_="" ns2:_="" ns3:_="">
    <xsd:import namespace="http://schemas.microsoft.com/sharepoint/v3"/>
    <xsd:import namespace="b9a3712e-bc20-405a-b37f-500586867ac7"/>
    <xsd:import namespace="7463d64c-3a86-4ce4-961a-ea9a276065c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Unified Compliance Policy Properties" ma:hidden="true" ma:internalName="_ip_UnifiedCompliancePolicyProperties">
      <xsd:simpleType>
        <xsd:restriction base="dms:Note"/>
      </xsd:simpleType>
    </xsd:element>
    <xsd:element name="_ip_UnifiedCompliancePolicyUIAction" ma:index="2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a3712e-bc20-405a-b37f-500586867a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2862607-985e-4adb-854e-bf70ecc715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63d64c-3a86-4ce4-961a-ea9a276065c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3917caf-c73e-4626-977e-659598709a0a}" ma:internalName="TaxCatchAll" ma:showField="CatchAllData" ma:web="7463d64c-3a86-4ce4-961a-ea9a276065c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7463d64c-3a86-4ce4-961a-ea9a276065c6">
      <UserInfo>
        <DisplayName>Audronė Litvinskaitė</DisplayName>
        <AccountId>27</AccountId>
        <AccountType/>
      </UserInfo>
      <UserInfo>
        <DisplayName>Violeta Grajauskienė</DisplayName>
        <AccountId>13</AccountId>
        <AccountType/>
      </UserInfo>
      <UserInfo>
        <DisplayName>Rita Čepulienė</DisplayName>
        <AccountId>63</AccountId>
        <AccountType/>
      </UserInfo>
      <UserInfo>
        <DisplayName>Ignas Simonaitis</DisplayName>
        <AccountId>14</AccountId>
        <AccountType/>
      </UserInfo>
      <UserInfo>
        <DisplayName>Linas Lazauskas</DisplayName>
        <AccountId>43</AccountId>
        <AccountType/>
      </UserInfo>
      <UserInfo>
        <DisplayName>Justina Smolskienė</DisplayName>
        <AccountId>90</AccountId>
        <AccountType/>
      </UserInfo>
    </SharedWithUsers>
    <lcf76f155ced4ddcb4097134ff3c332f xmlns="b9a3712e-bc20-405a-b37f-500586867ac7">
      <Terms xmlns="http://schemas.microsoft.com/office/infopath/2007/PartnerControls"/>
    </lcf76f155ced4ddcb4097134ff3c332f>
    <TaxCatchAll xmlns="7463d64c-3a86-4ce4-961a-ea9a276065c6" xsi:nil="tru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C7A4A806-E9C1-4AA6-A30F-7D93526E58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9a3712e-bc20-405a-b37f-500586867ac7"/>
    <ds:schemaRef ds:uri="7463d64c-3a86-4ce4-961a-ea9a276065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06A80BE-D40B-46E6-A2CA-FAECC10FE564}">
  <ds:schemaRefs>
    <ds:schemaRef ds:uri="http://schemas.microsoft.com/sharepoint/v3/contenttype/forms"/>
  </ds:schemaRefs>
</ds:datastoreItem>
</file>

<file path=customXml/itemProps3.xml><?xml version="1.0" encoding="utf-8"?>
<ds:datastoreItem xmlns:ds="http://schemas.openxmlformats.org/officeDocument/2006/customXml" ds:itemID="{0909701D-DADA-4D0E-B74D-9E24414BC729}">
  <ds:schemaRefs>
    <ds:schemaRef ds:uri="http://schemas.microsoft.com/office/2006/documentManagement/types"/>
    <ds:schemaRef ds:uri="http://schemas.microsoft.com/sharepoint/v3"/>
    <ds:schemaRef ds:uri="http://purl.org/dc/elements/1.1/"/>
    <ds:schemaRef ds:uri="7463d64c-3a86-4ce4-961a-ea9a276065c6"/>
    <ds:schemaRef ds:uri="http://purl.org/dc/dcmitype/"/>
    <ds:schemaRef ds:uri="http://schemas.microsoft.com/office/infopath/2007/PartnerControls"/>
    <ds:schemaRef ds:uri="http://purl.org/dc/terms/"/>
    <ds:schemaRef ds:uri="http://schemas.microsoft.com/office/2006/metadata/properties"/>
    <ds:schemaRef ds:uri="http://schemas.openxmlformats.org/package/2006/metadata/core-properties"/>
    <ds:schemaRef ds:uri="b9a3712e-bc20-405a-b37f-500586867ac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7</vt:i4>
      </vt:variant>
    </vt:vector>
  </HeadingPairs>
  <TitlesOfParts>
    <vt:vector size="7" baseType="lpstr">
      <vt:lpstr>1 programa</vt:lpstr>
      <vt:lpstr>2 programa</vt:lpstr>
      <vt:lpstr>3 programa</vt:lpstr>
      <vt:lpstr>4 programa</vt:lpstr>
      <vt:lpstr>5 programa</vt:lpstr>
      <vt:lpstr>Suvestinė</vt:lpstr>
      <vt:lpstr>Planui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Simona Valasevičienė</dc:creator>
  <cp:keywords/>
  <dc:description/>
  <cp:lastModifiedBy>Violeta Grajauskiene</cp:lastModifiedBy>
  <cp:revision/>
  <dcterms:created xsi:type="dcterms:W3CDTF">2015-06-05T18:17:20Z</dcterms:created>
  <dcterms:modified xsi:type="dcterms:W3CDTF">2025-12-08T18:59:06Z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0x0101002B9FF89BC0D15E42850BA04E1E8B4F0E</vt:lpwstr>
  </property>
  <property fmtid="{D5CDD505-2E9C-101B-9397-08002B2CF9AE}" pid="3" name="MediaServiceImageTags">
    <vt:lpwstr/>
  </property>
</Properties>
</file>